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rezsport.sharepoint.com/Zakzky 2025/VZ-184-2025_OPRAVA ROZVODŮ VODY RONDO/administrace/a_VZ_OPRAVA ROZVODU VODY RONDO_ZD/"/>
    </mc:Choice>
  </mc:AlternateContent>
  <xr:revisionPtr revIDLastSave="2" documentId="8_{14C30EF8-B208-41BD-B597-40CD56D66EC7}" xr6:coauthVersionLast="47" xr6:coauthVersionMax="47" xr10:uidLastSave="{44F4843D-C6A0-4330-B902-FC51C4996AA0}"/>
  <bookViews>
    <workbookView xWindow="-108" yWindow="-108" windowWidth="23256" windowHeight="12456" xr2:uid="{00000000-000D-0000-FFFF-FFFF00000000}"/>
  </bookViews>
  <sheets>
    <sheet name="Stavební rozpočet" sheetId="1" r:id="rId1"/>
    <sheet name="Krycí list rozpočtu" sheetId="2" r:id="rId2"/>
    <sheet name="VORN" sheetId="3" state="hidden" r:id="rId3"/>
  </sheets>
  <definedNames>
    <definedName name="vorn_sum">VORN!$I$45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3" l="1"/>
  <c r="I44" i="3" s="1"/>
  <c r="F43" i="3"/>
  <c r="I43" i="3" s="1"/>
  <c r="F42" i="3"/>
  <c r="I42" i="3" s="1"/>
  <c r="F41" i="3"/>
  <c r="I41" i="3" s="1"/>
  <c r="F40" i="3"/>
  <c r="I40" i="3" s="1"/>
  <c r="F39" i="3"/>
  <c r="I39" i="3" s="1"/>
  <c r="F38" i="3"/>
  <c r="I38" i="3" s="1"/>
  <c r="F37" i="3"/>
  <c r="I37" i="3" s="1"/>
  <c r="F36" i="3"/>
  <c r="I36" i="3" s="1"/>
  <c r="I26" i="3"/>
  <c r="I25" i="3"/>
  <c r="I24" i="3"/>
  <c r="I23" i="3"/>
  <c r="I22" i="3"/>
  <c r="I21" i="3"/>
  <c r="I27" i="3" s="1"/>
  <c r="I17" i="3"/>
  <c r="I16" i="3"/>
  <c r="I15" i="3"/>
  <c r="I18" i="3" s="1"/>
  <c r="F29" i="3" s="1"/>
  <c r="I10" i="3"/>
  <c r="F10" i="3"/>
  <c r="C10" i="3"/>
  <c r="F8" i="3"/>
  <c r="C8" i="3"/>
  <c r="F6" i="3"/>
  <c r="C6" i="3"/>
  <c r="F4" i="3"/>
  <c r="C4" i="3"/>
  <c r="F2" i="3"/>
  <c r="C2" i="3"/>
  <c r="I19" i="2"/>
  <c r="I18" i="2"/>
  <c r="I17" i="2"/>
  <c r="I16" i="2"/>
  <c r="F16" i="2"/>
  <c r="I15" i="2"/>
  <c r="F15" i="2"/>
  <c r="I14" i="2"/>
  <c r="I22" i="2" s="1"/>
  <c r="F14" i="2"/>
  <c r="F22" i="2" s="1"/>
  <c r="I10" i="2"/>
  <c r="F10" i="2"/>
  <c r="C10" i="2"/>
  <c r="F8" i="2"/>
  <c r="C8" i="2"/>
  <c r="F6" i="2"/>
  <c r="C6" i="2"/>
  <c r="F4" i="2"/>
  <c r="C4" i="2"/>
  <c r="F2" i="2"/>
  <c r="C2" i="2"/>
  <c r="BJ166" i="1"/>
  <c r="BF166" i="1"/>
  <c r="BD166" i="1"/>
  <c r="AP166" i="1"/>
  <c r="AO166" i="1"/>
  <c r="AL166" i="1"/>
  <c r="AK166" i="1"/>
  <c r="AH166" i="1"/>
  <c r="AG166" i="1"/>
  <c r="AF166" i="1"/>
  <c r="AE166" i="1"/>
  <c r="AD166" i="1"/>
  <c r="AC166" i="1"/>
  <c r="AB166" i="1"/>
  <c r="Z166" i="1"/>
  <c r="J166" i="1"/>
  <c r="AJ166" i="1" s="1"/>
  <c r="I166" i="1"/>
  <c r="H166" i="1"/>
  <c r="AU165" i="1"/>
  <c r="AT165" i="1"/>
  <c r="AS165" i="1"/>
  <c r="J165" i="1"/>
  <c r="I165" i="1"/>
  <c r="H165" i="1"/>
  <c r="BJ164" i="1"/>
  <c r="BF164" i="1"/>
  <c r="BD164" i="1"/>
  <c r="AP164" i="1"/>
  <c r="AO164" i="1"/>
  <c r="AL164" i="1"/>
  <c r="AK164" i="1"/>
  <c r="AH164" i="1"/>
  <c r="AG164" i="1"/>
  <c r="AF164" i="1"/>
  <c r="AE164" i="1"/>
  <c r="AD164" i="1"/>
  <c r="AC164" i="1"/>
  <c r="AB164" i="1"/>
  <c r="Z164" i="1"/>
  <c r="J164" i="1"/>
  <c r="AJ164" i="1" s="1"/>
  <c r="I164" i="1"/>
  <c r="H164" i="1"/>
  <c r="BJ163" i="1"/>
  <c r="BF163" i="1"/>
  <c r="BD163" i="1"/>
  <c r="AP163" i="1"/>
  <c r="AO163" i="1"/>
  <c r="AL163" i="1"/>
  <c r="AK163" i="1"/>
  <c r="AH163" i="1"/>
  <c r="AG163" i="1"/>
  <c r="AF163" i="1"/>
  <c r="AE163" i="1"/>
  <c r="AD163" i="1"/>
  <c r="AC163" i="1"/>
  <c r="AB163" i="1"/>
  <c r="Z163" i="1"/>
  <c r="J163" i="1"/>
  <c r="AJ163" i="1" s="1"/>
  <c r="I163" i="1"/>
  <c r="H163" i="1"/>
  <c r="BJ162" i="1"/>
  <c r="BF162" i="1"/>
  <c r="BD162" i="1"/>
  <c r="AP162" i="1"/>
  <c r="AO162" i="1"/>
  <c r="AL162" i="1"/>
  <c r="AK162" i="1"/>
  <c r="AH162" i="1"/>
  <c r="AG162" i="1"/>
  <c r="AF162" i="1"/>
  <c r="AE162" i="1"/>
  <c r="AD162" i="1"/>
  <c r="AC162" i="1"/>
  <c r="AB162" i="1"/>
  <c r="Z162" i="1"/>
  <c r="J162" i="1"/>
  <c r="AJ162" i="1" s="1"/>
  <c r="I162" i="1"/>
  <c r="H162" i="1"/>
  <c r="BJ161" i="1"/>
  <c r="BF161" i="1"/>
  <c r="BD161" i="1"/>
  <c r="AP161" i="1"/>
  <c r="AO161" i="1"/>
  <c r="AL161" i="1"/>
  <c r="AK161" i="1"/>
  <c r="AH161" i="1"/>
  <c r="AG161" i="1"/>
  <c r="AF161" i="1"/>
  <c r="AE161" i="1"/>
  <c r="AD161" i="1"/>
  <c r="AC161" i="1"/>
  <c r="AB161" i="1"/>
  <c r="Z161" i="1"/>
  <c r="J161" i="1"/>
  <c r="AJ161" i="1" s="1"/>
  <c r="I161" i="1"/>
  <c r="H161" i="1"/>
  <c r="BJ160" i="1"/>
  <c r="BF160" i="1"/>
  <c r="BD160" i="1"/>
  <c r="AP160" i="1"/>
  <c r="AO160" i="1"/>
  <c r="AL160" i="1"/>
  <c r="AK160" i="1"/>
  <c r="AH160" i="1"/>
  <c r="AG160" i="1"/>
  <c r="AF160" i="1"/>
  <c r="AE160" i="1"/>
  <c r="AD160" i="1"/>
  <c r="AC160" i="1"/>
  <c r="AB160" i="1"/>
  <c r="Z160" i="1"/>
  <c r="J160" i="1"/>
  <c r="AJ160" i="1" s="1"/>
  <c r="I160" i="1"/>
  <c r="H160" i="1"/>
  <c r="BJ159" i="1"/>
  <c r="BF159" i="1"/>
  <c r="BD159" i="1"/>
  <c r="AP159" i="1"/>
  <c r="AO159" i="1"/>
  <c r="AL159" i="1"/>
  <c r="AK159" i="1"/>
  <c r="AH159" i="1"/>
  <c r="AG159" i="1"/>
  <c r="AF159" i="1"/>
  <c r="AE159" i="1"/>
  <c r="AD159" i="1"/>
  <c r="AC159" i="1"/>
  <c r="AB159" i="1"/>
  <c r="Z159" i="1"/>
  <c r="J159" i="1"/>
  <c r="AJ159" i="1" s="1"/>
  <c r="I159" i="1"/>
  <c r="H159" i="1"/>
  <c r="AU158" i="1"/>
  <c r="AT158" i="1"/>
  <c r="AS158" i="1"/>
  <c r="J158" i="1"/>
  <c r="I158" i="1"/>
  <c r="H158" i="1"/>
  <c r="BJ157" i="1"/>
  <c r="BF157" i="1"/>
  <c r="BD157" i="1"/>
  <c r="AP157" i="1"/>
  <c r="AO157" i="1"/>
  <c r="AL157" i="1"/>
  <c r="AK157" i="1"/>
  <c r="AH157" i="1"/>
  <c r="AG157" i="1"/>
  <c r="AF157" i="1"/>
  <c r="AE157" i="1"/>
  <c r="AD157" i="1"/>
  <c r="Z157" i="1"/>
  <c r="J157" i="1"/>
  <c r="AJ157" i="1" s="1"/>
  <c r="I157" i="1"/>
  <c r="H157" i="1"/>
  <c r="BJ156" i="1"/>
  <c r="BF156" i="1"/>
  <c r="BD156" i="1"/>
  <c r="AP156" i="1"/>
  <c r="AO156" i="1"/>
  <c r="AL156" i="1"/>
  <c r="AK156" i="1"/>
  <c r="AH156" i="1"/>
  <c r="AG156" i="1"/>
  <c r="AF156" i="1"/>
  <c r="AE156" i="1"/>
  <c r="AD156" i="1"/>
  <c r="Z156" i="1"/>
  <c r="J156" i="1"/>
  <c r="AJ156" i="1" s="1"/>
  <c r="I156" i="1"/>
  <c r="H156" i="1"/>
  <c r="BJ155" i="1"/>
  <c r="BF155" i="1"/>
  <c r="BD155" i="1"/>
  <c r="AP155" i="1"/>
  <c r="AO155" i="1"/>
  <c r="AL155" i="1"/>
  <c r="AK155" i="1"/>
  <c r="AH155" i="1"/>
  <c r="AG155" i="1"/>
  <c r="AF155" i="1"/>
  <c r="AE155" i="1"/>
  <c r="AD155" i="1"/>
  <c r="Z155" i="1"/>
  <c r="J155" i="1"/>
  <c r="AJ155" i="1" s="1"/>
  <c r="I155" i="1"/>
  <c r="H155" i="1"/>
  <c r="AU154" i="1"/>
  <c r="AT154" i="1"/>
  <c r="AS154" i="1"/>
  <c r="J154" i="1"/>
  <c r="I154" i="1"/>
  <c r="H154" i="1"/>
  <c r="BJ153" i="1"/>
  <c r="BF153" i="1"/>
  <c r="BD153" i="1"/>
  <c r="AP153" i="1"/>
  <c r="AO153" i="1"/>
  <c r="AL153" i="1"/>
  <c r="AK153" i="1"/>
  <c r="AH153" i="1"/>
  <c r="AG153" i="1"/>
  <c r="AF153" i="1"/>
  <c r="AE153" i="1"/>
  <c r="AD153" i="1"/>
  <c r="Z153" i="1"/>
  <c r="J153" i="1"/>
  <c r="AJ153" i="1" s="1"/>
  <c r="I153" i="1"/>
  <c r="H153" i="1"/>
  <c r="AU152" i="1"/>
  <c r="AT152" i="1"/>
  <c r="AS152" i="1"/>
  <c r="J152" i="1"/>
  <c r="I152" i="1"/>
  <c r="H152" i="1"/>
  <c r="BJ151" i="1"/>
  <c r="BF151" i="1"/>
  <c r="BD151" i="1"/>
  <c r="AP151" i="1"/>
  <c r="AO151" i="1"/>
  <c r="AL151" i="1"/>
  <c r="AK151" i="1"/>
  <c r="AH151" i="1"/>
  <c r="AG151" i="1"/>
  <c r="AF151" i="1"/>
  <c r="AE151" i="1"/>
  <c r="AD151" i="1"/>
  <c r="Z151" i="1"/>
  <c r="J151" i="1"/>
  <c r="AJ151" i="1" s="1"/>
  <c r="I151" i="1"/>
  <c r="H151" i="1"/>
  <c r="BJ150" i="1"/>
  <c r="BF150" i="1"/>
  <c r="BD150" i="1"/>
  <c r="AP150" i="1"/>
  <c r="AO150" i="1"/>
  <c r="AL150" i="1"/>
  <c r="AK150" i="1"/>
  <c r="AH150" i="1"/>
  <c r="AG150" i="1"/>
  <c r="AF150" i="1"/>
  <c r="AE150" i="1"/>
  <c r="AD150" i="1"/>
  <c r="Z150" i="1"/>
  <c r="J150" i="1"/>
  <c r="AJ150" i="1" s="1"/>
  <c r="I150" i="1"/>
  <c r="H150" i="1"/>
  <c r="AU149" i="1"/>
  <c r="AT149" i="1"/>
  <c r="AS149" i="1"/>
  <c r="J149" i="1"/>
  <c r="I149" i="1"/>
  <c r="H149" i="1"/>
  <c r="BJ148" i="1"/>
  <c r="BF148" i="1"/>
  <c r="BD148" i="1"/>
  <c r="AP148" i="1"/>
  <c r="AO148" i="1"/>
  <c r="AL148" i="1"/>
  <c r="AK148" i="1"/>
  <c r="AH148" i="1"/>
  <c r="AG148" i="1"/>
  <c r="AF148" i="1"/>
  <c r="AC148" i="1"/>
  <c r="AB148" i="1"/>
  <c r="Z148" i="1"/>
  <c r="J148" i="1"/>
  <c r="AJ148" i="1" s="1"/>
  <c r="I148" i="1"/>
  <c r="H148" i="1"/>
  <c r="BJ147" i="1"/>
  <c r="BF147" i="1"/>
  <c r="BD147" i="1"/>
  <c r="AP147" i="1"/>
  <c r="AO147" i="1"/>
  <c r="AL147" i="1"/>
  <c r="AK147" i="1"/>
  <c r="AH147" i="1"/>
  <c r="AG147" i="1"/>
  <c r="AF147" i="1"/>
  <c r="AC147" i="1"/>
  <c r="AB147" i="1"/>
  <c r="Z147" i="1"/>
  <c r="J147" i="1"/>
  <c r="AJ147" i="1" s="1"/>
  <c r="I147" i="1"/>
  <c r="H147" i="1"/>
  <c r="AU146" i="1"/>
  <c r="AT146" i="1"/>
  <c r="AS146" i="1"/>
  <c r="J146" i="1"/>
  <c r="I146" i="1"/>
  <c r="H146" i="1"/>
  <c r="BJ145" i="1"/>
  <c r="BF145" i="1"/>
  <c r="BD145" i="1"/>
  <c r="AP145" i="1"/>
  <c r="AO145" i="1"/>
  <c r="AL145" i="1"/>
  <c r="AK145" i="1"/>
  <c r="AH145" i="1"/>
  <c r="AG145" i="1"/>
  <c r="AF145" i="1"/>
  <c r="AC145" i="1"/>
  <c r="AB145" i="1"/>
  <c r="Z145" i="1"/>
  <c r="J145" i="1"/>
  <c r="AJ145" i="1" s="1"/>
  <c r="I145" i="1"/>
  <c r="H145" i="1"/>
  <c r="AU144" i="1"/>
  <c r="AT144" i="1"/>
  <c r="AS144" i="1"/>
  <c r="J144" i="1"/>
  <c r="I144" i="1"/>
  <c r="H144" i="1"/>
  <c r="BJ143" i="1"/>
  <c r="BF143" i="1"/>
  <c r="BD143" i="1"/>
  <c r="AP143" i="1"/>
  <c r="AO143" i="1"/>
  <c r="AL143" i="1"/>
  <c r="AK143" i="1"/>
  <c r="AH143" i="1"/>
  <c r="AG143" i="1"/>
  <c r="AF143" i="1"/>
  <c r="AC143" i="1"/>
  <c r="AB143" i="1"/>
  <c r="Z143" i="1"/>
  <c r="J143" i="1"/>
  <c r="AJ143" i="1" s="1"/>
  <c r="I143" i="1"/>
  <c r="H143" i="1"/>
  <c r="AU142" i="1"/>
  <c r="AT142" i="1"/>
  <c r="AS142" i="1"/>
  <c r="J142" i="1"/>
  <c r="I142" i="1"/>
  <c r="H142" i="1"/>
  <c r="BJ141" i="1"/>
  <c r="BF141" i="1"/>
  <c r="BD141" i="1"/>
  <c r="AP141" i="1"/>
  <c r="AO141" i="1"/>
  <c r="AL141" i="1"/>
  <c r="AK141" i="1"/>
  <c r="AH141" i="1"/>
  <c r="AG141" i="1"/>
  <c r="AF141" i="1"/>
  <c r="AC141" i="1"/>
  <c r="AB141" i="1"/>
  <c r="Z141" i="1"/>
  <c r="J141" i="1"/>
  <c r="AJ141" i="1" s="1"/>
  <c r="I141" i="1"/>
  <c r="H141" i="1"/>
  <c r="AU140" i="1"/>
  <c r="AT140" i="1"/>
  <c r="AS140" i="1"/>
  <c r="J140" i="1"/>
  <c r="I140" i="1"/>
  <c r="H140" i="1"/>
  <c r="BJ139" i="1"/>
  <c r="BF139" i="1"/>
  <c r="BD139" i="1"/>
  <c r="AP139" i="1"/>
  <c r="AO139" i="1"/>
  <c r="AL139" i="1"/>
  <c r="AK139" i="1"/>
  <c r="AH139" i="1"/>
  <c r="AG139" i="1"/>
  <c r="AF139" i="1"/>
  <c r="AC139" i="1"/>
  <c r="AB139" i="1"/>
  <c r="Z139" i="1"/>
  <c r="J139" i="1"/>
  <c r="AJ139" i="1" s="1"/>
  <c r="I139" i="1"/>
  <c r="H139" i="1"/>
  <c r="BJ138" i="1"/>
  <c r="BF138" i="1"/>
  <c r="BD138" i="1"/>
  <c r="AP138" i="1"/>
  <c r="AO138" i="1"/>
  <c r="AL138" i="1"/>
  <c r="AK138" i="1"/>
  <c r="AH138" i="1"/>
  <c r="AG138" i="1"/>
  <c r="AF138" i="1"/>
  <c r="AC138" i="1"/>
  <c r="AB138" i="1"/>
  <c r="Z138" i="1"/>
  <c r="J138" i="1"/>
  <c r="AJ138" i="1" s="1"/>
  <c r="I138" i="1"/>
  <c r="H138" i="1"/>
  <c r="BJ137" i="1"/>
  <c r="BF137" i="1"/>
  <c r="BD137" i="1"/>
  <c r="AP137" i="1"/>
  <c r="AO137" i="1"/>
  <c r="AL137" i="1"/>
  <c r="AK137" i="1"/>
  <c r="AH137" i="1"/>
  <c r="AG137" i="1"/>
  <c r="AF137" i="1"/>
  <c r="AC137" i="1"/>
  <c r="AB137" i="1"/>
  <c r="Z137" i="1"/>
  <c r="J137" i="1"/>
  <c r="AJ137" i="1" s="1"/>
  <c r="I137" i="1"/>
  <c r="H137" i="1"/>
  <c r="AU136" i="1"/>
  <c r="AT136" i="1"/>
  <c r="AS136" i="1"/>
  <c r="J136" i="1"/>
  <c r="I136" i="1"/>
  <c r="H136" i="1"/>
  <c r="BJ135" i="1"/>
  <c r="BF135" i="1"/>
  <c r="BD135" i="1"/>
  <c r="AP135" i="1"/>
  <c r="AO135" i="1"/>
  <c r="AL135" i="1"/>
  <c r="AK135" i="1"/>
  <c r="AH135" i="1"/>
  <c r="AG135" i="1"/>
  <c r="AF135" i="1"/>
  <c r="AE135" i="1"/>
  <c r="AD135" i="1"/>
  <c r="Z135" i="1"/>
  <c r="J135" i="1"/>
  <c r="AJ135" i="1" s="1"/>
  <c r="I135" i="1"/>
  <c r="H135" i="1"/>
  <c r="BJ134" i="1"/>
  <c r="BF134" i="1"/>
  <c r="BD134" i="1"/>
  <c r="AP134" i="1"/>
  <c r="AO134" i="1"/>
  <c r="AL134" i="1"/>
  <c r="AK134" i="1"/>
  <c r="AH134" i="1"/>
  <c r="AG134" i="1"/>
  <c r="AF134" i="1"/>
  <c r="AE134" i="1"/>
  <c r="AD134" i="1"/>
  <c r="Z134" i="1"/>
  <c r="J134" i="1"/>
  <c r="AJ134" i="1" s="1"/>
  <c r="I134" i="1"/>
  <c r="H134" i="1"/>
  <c r="BJ133" i="1"/>
  <c r="BF133" i="1"/>
  <c r="BD133" i="1"/>
  <c r="AP133" i="1"/>
  <c r="AO133" i="1"/>
  <c r="AL133" i="1"/>
  <c r="AK133" i="1"/>
  <c r="AH133" i="1"/>
  <c r="AG133" i="1"/>
  <c r="AF133" i="1"/>
  <c r="AE133" i="1"/>
  <c r="AD133" i="1"/>
  <c r="Z133" i="1"/>
  <c r="J133" i="1"/>
  <c r="AJ133" i="1" s="1"/>
  <c r="I133" i="1"/>
  <c r="H133" i="1"/>
  <c r="AU132" i="1"/>
  <c r="AT132" i="1"/>
  <c r="AS132" i="1"/>
  <c r="J132" i="1"/>
  <c r="I132" i="1"/>
  <c r="H132" i="1"/>
  <c r="BJ131" i="1"/>
  <c r="BF131" i="1"/>
  <c r="BD131" i="1"/>
  <c r="AP131" i="1"/>
  <c r="AO131" i="1"/>
  <c r="AL131" i="1"/>
  <c r="AK131" i="1"/>
  <c r="AH131" i="1"/>
  <c r="AG131" i="1"/>
  <c r="AF131" i="1"/>
  <c r="AE131" i="1"/>
  <c r="AD131" i="1"/>
  <c r="Z131" i="1"/>
  <c r="J131" i="1"/>
  <c r="AJ131" i="1" s="1"/>
  <c r="I131" i="1"/>
  <c r="H131" i="1"/>
  <c r="AU130" i="1"/>
  <c r="AT130" i="1"/>
  <c r="AS130" i="1"/>
  <c r="J130" i="1"/>
  <c r="I130" i="1"/>
  <c r="H130" i="1"/>
  <c r="BJ129" i="1"/>
  <c r="BF129" i="1"/>
  <c r="BD129" i="1"/>
  <c r="AP129" i="1"/>
  <c r="AO129" i="1"/>
  <c r="AL129" i="1"/>
  <c r="AK129" i="1"/>
  <c r="AH129" i="1"/>
  <c r="AG129" i="1"/>
  <c r="AF129" i="1"/>
  <c r="AE129" i="1"/>
  <c r="AD129" i="1"/>
  <c r="Z129" i="1"/>
  <c r="J129" i="1"/>
  <c r="AJ129" i="1" s="1"/>
  <c r="I129" i="1"/>
  <c r="H129" i="1"/>
  <c r="AU128" i="1"/>
  <c r="AT128" i="1"/>
  <c r="AS128" i="1"/>
  <c r="J128" i="1"/>
  <c r="I128" i="1"/>
  <c r="H128" i="1"/>
  <c r="BJ127" i="1"/>
  <c r="BF127" i="1"/>
  <c r="BD127" i="1"/>
  <c r="AP127" i="1"/>
  <c r="AO127" i="1"/>
  <c r="AL127" i="1"/>
  <c r="AK127" i="1"/>
  <c r="AH127" i="1"/>
  <c r="AG127" i="1"/>
  <c r="AF127" i="1"/>
  <c r="AE127" i="1"/>
  <c r="AD127" i="1"/>
  <c r="Z127" i="1"/>
  <c r="J127" i="1"/>
  <c r="AJ127" i="1" s="1"/>
  <c r="I127" i="1"/>
  <c r="H127" i="1"/>
  <c r="BJ126" i="1"/>
  <c r="BF126" i="1"/>
  <c r="BD126" i="1"/>
  <c r="AP126" i="1"/>
  <c r="AO126" i="1"/>
  <c r="AL126" i="1"/>
  <c r="AK126" i="1"/>
  <c r="AH126" i="1"/>
  <c r="AG126" i="1"/>
  <c r="AF126" i="1"/>
  <c r="AE126" i="1"/>
  <c r="AD126" i="1"/>
  <c r="Z126" i="1"/>
  <c r="J126" i="1"/>
  <c r="AJ126" i="1" s="1"/>
  <c r="I126" i="1"/>
  <c r="H126" i="1"/>
  <c r="AU125" i="1"/>
  <c r="AT125" i="1"/>
  <c r="AS125" i="1"/>
  <c r="J125" i="1"/>
  <c r="I125" i="1"/>
  <c r="H125" i="1"/>
  <c r="BJ124" i="1"/>
  <c r="BF124" i="1"/>
  <c r="BD124" i="1"/>
  <c r="AP124" i="1"/>
  <c r="AO124" i="1"/>
  <c r="AL124" i="1"/>
  <c r="AK124" i="1"/>
  <c r="AH124" i="1"/>
  <c r="AG124" i="1"/>
  <c r="AF124" i="1"/>
  <c r="AE124" i="1"/>
  <c r="AD124" i="1"/>
  <c r="Z124" i="1"/>
  <c r="J124" i="1"/>
  <c r="AJ124" i="1" s="1"/>
  <c r="I124" i="1"/>
  <c r="H124" i="1"/>
  <c r="BJ123" i="1"/>
  <c r="BF123" i="1"/>
  <c r="BD123" i="1"/>
  <c r="AP123" i="1"/>
  <c r="AO123" i="1"/>
  <c r="AL123" i="1"/>
  <c r="AK123" i="1"/>
  <c r="AH123" i="1"/>
  <c r="AG123" i="1"/>
  <c r="AF123" i="1"/>
  <c r="AE123" i="1"/>
  <c r="AD123" i="1"/>
  <c r="Z123" i="1"/>
  <c r="J123" i="1"/>
  <c r="AJ123" i="1" s="1"/>
  <c r="I123" i="1"/>
  <c r="H123" i="1"/>
  <c r="AU122" i="1"/>
  <c r="AT122" i="1"/>
  <c r="AS122" i="1"/>
  <c r="J122" i="1"/>
  <c r="I122" i="1"/>
  <c r="H122" i="1"/>
  <c r="BJ121" i="1"/>
  <c r="BF121" i="1"/>
  <c r="BD121" i="1"/>
  <c r="AP121" i="1"/>
  <c r="AO121" i="1"/>
  <c r="AL121" i="1"/>
  <c r="AK121" i="1"/>
  <c r="AH121" i="1"/>
  <c r="AG121" i="1"/>
  <c r="AF121" i="1"/>
  <c r="AE121" i="1"/>
  <c r="AD121" i="1"/>
  <c r="Z121" i="1"/>
  <c r="J121" i="1"/>
  <c r="AJ121" i="1" s="1"/>
  <c r="I121" i="1"/>
  <c r="H121" i="1"/>
  <c r="AU120" i="1"/>
  <c r="AT120" i="1"/>
  <c r="AS120" i="1"/>
  <c r="J120" i="1"/>
  <c r="I120" i="1"/>
  <c r="H120" i="1"/>
  <c r="J119" i="1"/>
  <c r="I119" i="1"/>
  <c r="H119" i="1"/>
  <c r="BJ118" i="1"/>
  <c r="BF118" i="1"/>
  <c r="BD118" i="1"/>
  <c r="AP118" i="1"/>
  <c r="AO118" i="1"/>
  <c r="AL118" i="1"/>
  <c r="AK118" i="1"/>
  <c r="AH118" i="1"/>
  <c r="AG118" i="1"/>
  <c r="AF118" i="1"/>
  <c r="AE118" i="1"/>
  <c r="AD118" i="1"/>
  <c r="AC118" i="1"/>
  <c r="AB118" i="1"/>
  <c r="Z118" i="1"/>
  <c r="J118" i="1"/>
  <c r="AJ118" i="1" s="1"/>
  <c r="I118" i="1"/>
  <c r="H118" i="1"/>
  <c r="BJ117" i="1"/>
  <c r="BF117" i="1"/>
  <c r="BD117" i="1"/>
  <c r="AP117" i="1"/>
  <c r="AO117" i="1"/>
  <c r="AL117" i="1"/>
  <c r="AK117" i="1"/>
  <c r="AH117" i="1"/>
  <c r="AG117" i="1"/>
  <c r="AF117" i="1"/>
  <c r="AE117" i="1"/>
  <c r="AD117" i="1"/>
  <c r="AC117" i="1"/>
  <c r="AB117" i="1"/>
  <c r="Z117" i="1"/>
  <c r="J117" i="1"/>
  <c r="AJ117" i="1" s="1"/>
  <c r="I117" i="1"/>
  <c r="H117" i="1"/>
  <c r="BJ116" i="1"/>
  <c r="BF116" i="1"/>
  <c r="BD116" i="1"/>
  <c r="AP116" i="1"/>
  <c r="AO116" i="1"/>
  <c r="AL116" i="1"/>
  <c r="AK116" i="1"/>
  <c r="AH116" i="1"/>
  <c r="AG116" i="1"/>
  <c r="AF116" i="1"/>
  <c r="AE116" i="1"/>
  <c r="AD116" i="1"/>
  <c r="AC116" i="1"/>
  <c r="AB116" i="1"/>
  <c r="Z116" i="1"/>
  <c r="J116" i="1"/>
  <c r="AJ116" i="1" s="1"/>
  <c r="I116" i="1"/>
  <c r="H116" i="1"/>
  <c r="BJ115" i="1"/>
  <c r="BF115" i="1"/>
  <c r="BD115" i="1"/>
  <c r="AP115" i="1"/>
  <c r="AO115" i="1"/>
  <c r="AL115" i="1"/>
  <c r="AK115" i="1"/>
  <c r="AH115" i="1"/>
  <c r="AG115" i="1"/>
  <c r="AF115" i="1"/>
  <c r="AE115" i="1"/>
  <c r="AD115" i="1"/>
  <c r="AC115" i="1"/>
  <c r="AB115" i="1"/>
  <c r="Z115" i="1"/>
  <c r="J115" i="1"/>
  <c r="AJ115" i="1" s="1"/>
  <c r="I115" i="1"/>
  <c r="H115" i="1"/>
  <c r="BJ114" i="1"/>
  <c r="BF114" i="1"/>
  <c r="BD114" i="1"/>
  <c r="AP114" i="1"/>
  <c r="AO114" i="1"/>
  <c r="AL114" i="1"/>
  <c r="AK114" i="1"/>
  <c r="AH114" i="1"/>
  <c r="AG114" i="1"/>
  <c r="AF114" i="1"/>
  <c r="AE114" i="1"/>
  <c r="AD114" i="1"/>
  <c r="AC114" i="1"/>
  <c r="AB114" i="1"/>
  <c r="Z114" i="1"/>
  <c r="J114" i="1"/>
  <c r="AJ114" i="1" s="1"/>
  <c r="I114" i="1"/>
  <c r="H114" i="1"/>
  <c r="AU113" i="1"/>
  <c r="AT113" i="1"/>
  <c r="AS113" i="1"/>
  <c r="J113" i="1"/>
  <c r="I113" i="1"/>
  <c r="H113" i="1"/>
  <c r="BJ112" i="1"/>
  <c r="BF112" i="1"/>
  <c r="BD112" i="1"/>
  <c r="AP112" i="1"/>
  <c r="AO112" i="1"/>
  <c r="AL112" i="1"/>
  <c r="AK112" i="1"/>
  <c r="AH112" i="1"/>
  <c r="AG112" i="1"/>
  <c r="AF112" i="1"/>
  <c r="AE112" i="1"/>
  <c r="AD112" i="1"/>
  <c r="Z112" i="1"/>
  <c r="J112" i="1"/>
  <c r="AJ112" i="1" s="1"/>
  <c r="I112" i="1"/>
  <c r="H112" i="1"/>
  <c r="BJ111" i="1"/>
  <c r="BF111" i="1"/>
  <c r="BD111" i="1"/>
  <c r="AP111" i="1"/>
  <c r="AO111" i="1"/>
  <c r="AL111" i="1"/>
  <c r="AK111" i="1"/>
  <c r="AH111" i="1"/>
  <c r="AG111" i="1"/>
  <c r="AF111" i="1"/>
  <c r="AE111" i="1"/>
  <c r="AD111" i="1"/>
  <c r="Z111" i="1"/>
  <c r="J111" i="1"/>
  <c r="AJ111" i="1" s="1"/>
  <c r="I111" i="1"/>
  <c r="H111" i="1"/>
  <c r="BJ110" i="1"/>
  <c r="BF110" i="1"/>
  <c r="BD110" i="1"/>
  <c r="AP110" i="1"/>
  <c r="AO110" i="1"/>
  <c r="AL110" i="1"/>
  <c r="AK110" i="1"/>
  <c r="AH110" i="1"/>
  <c r="AG110" i="1"/>
  <c r="AF110" i="1"/>
  <c r="AE110" i="1"/>
  <c r="AD110" i="1"/>
  <c r="Z110" i="1"/>
  <c r="J110" i="1"/>
  <c r="AJ110" i="1" s="1"/>
  <c r="I110" i="1"/>
  <c r="H110" i="1"/>
  <c r="BJ109" i="1"/>
  <c r="BF109" i="1"/>
  <c r="BD109" i="1"/>
  <c r="AP109" i="1"/>
  <c r="AO109" i="1"/>
  <c r="AL109" i="1"/>
  <c r="AK109" i="1"/>
  <c r="AH109" i="1"/>
  <c r="AG109" i="1"/>
  <c r="AF109" i="1"/>
  <c r="AE109" i="1"/>
  <c r="AD109" i="1"/>
  <c r="Z109" i="1"/>
  <c r="J109" i="1"/>
  <c r="AJ109" i="1" s="1"/>
  <c r="I109" i="1"/>
  <c r="H109" i="1"/>
  <c r="BJ108" i="1"/>
  <c r="BF108" i="1"/>
  <c r="BD108" i="1"/>
  <c r="AP108" i="1"/>
  <c r="AO108" i="1"/>
  <c r="AL108" i="1"/>
  <c r="AK108" i="1"/>
  <c r="AH108" i="1"/>
  <c r="AG108" i="1"/>
  <c r="AF108" i="1"/>
  <c r="AE108" i="1"/>
  <c r="AD108" i="1"/>
  <c r="Z108" i="1"/>
  <c r="J108" i="1"/>
  <c r="AJ108" i="1" s="1"/>
  <c r="I108" i="1"/>
  <c r="H108" i="1"/>
  <c r="BJ107" i="1"/>
  <c r="BF107" i="1"/>
  <c r="BD107" i="1"/>
  <c r="AP107" i="1"/>
  <c r="AO107" i="1"/>
  <c r="AL107" i="1"/>
  <c r="AK107" i="1"/>
  <c r="AH107" i="1"/>
  <c r="AG107" i="1"/>
  <c r="AF107" i="1"/>
  <c r="AE107" i="1"/>
  <c r="AD107" i="1"/>
  <c r="Z107" i="1"/>
  <c r="J107" i="1"/>
  <c r="AJ107" i="1" s="1"/>
  <c r="I107" i="1"/>
  <c r="H107" i="1"/>
  <c r="AU106" i="1"/>
  <c r="AT106" i="1"/>
  <c r="AS106" i="1"/>
  <c r="J106" i="1"/>
  <c r="I106" i="1"/>
  <c r="H106" i="1"/>
  <c r="BJ105" i="1"/>
  <c r="BF105" i="1"/>
  <c r="BD105" i="1"/>
  <c r="AP105" i="1"/>
  <c r="AO105" i="1"/>
  <c r="AL105" i="1"/>
  <c r="AK105" i="1"/>
  <c r="AH105" i="1"/>
  <c r="AG105" i="1"/>
  <c r="AF105" i="1"/>
  <c r="AE105" i="1"/>
  <c r="AD105" i="1"/>
  <c r="Z105" i="1"/>
  <c r="J105" i="1"/>
  <c r="AJ105" i="1" s="1"/>
  <c r="I105" i="1"/>
  <c r="H105" i="1"/>
  <c r="AU104" i="1"/>
  <c r="AT104" i="1"/>
  <c r="AS104" i="1"/>
  <c r="J104" i="1"/>
  <c r="I104" i="1"/>
  <c r="H104" i="1"/>
  <c r="BJ103" i="1"/>
  <c r="BF103" i="1"/>
  <c r="BD103" i="1"/>
  <c r="AP103" i="1"/>
  <c r="AO103" i="1"/>
  <c r="AL103" i="1"/>
  <c r="AK103" i="1"/>
  <c r="AH103" i="1"/>
  <c r="AG103" i="1"/>
  <c r="AF103" i="1"/>
  <c r="AE103" i="1"/>
  <c r="AD103" i="1"/>
  <c r="AC103" i="1"/>
  <c r="AB103" i="1"/>
  <c r="Z103" i="1"/>
  <c r="J103" i="1"/>
  <c r="AJ103" i="1" s="1"/>
  <c r="I103" i="1"/>
  <c r="H103" i="1"/>
  <c r="BJ102" i="1"/>
  <c r="BF102" i="1"/>
  <c r="BD102" i="1"/>
  <c r="AP102" i="1"/>
  <c r="AO102" i="1"/>
  <c r="AL102" i="1"/>
  <c r="AK102" i="1"/>
  <c r="AH102" i="1"/>
  <c r="AG102" i="1"/>
  <c r="AF102" i="1"/>
  <c r="AE102" i="1"/>
  <c r="AD102" i="1"/>
  <c r="AC102" i="1"/>
  <c r="AB102" i="1"/>
  <c r="Z102" i="1"/>
  <c r="J102" i="1"/>
  <c r="AJ102" i="1" s="1"/>
  <c r="I102" i="1"/>
  <c r="H102" i="1"/>
  <c r="BJ101" i="1"/>
  <c r="BF101" i="1"/>
  <c r="BD101" i="1"/>
  <c r="AP101" i="1"/>
  <c r="AO101" i="1"/>
  <c r="AL101" i="1"/>
  <c r="AK101" i="1"/>
  <c r="AH101" i="1"/>
  <c r="AG101" i="1"/>
  <c r="AF101" i="1"/>
  <c r="AC101" i="1"/>
  <c r="AB101" i="1"/>
  <c r="Z101" i="1"/>
  <c r="J101" i="1"/>
  <c r="AJ101" i="1" s="1"/>
  <c r="I101" i="1"/>
  <c r="H101" i="1"/>
  <c r="BJ100" i="1"/>
  <c r="BF100" i="1"/>
  <c r="BD100" i="1"/>
  <c r="AP100" i="1"/>
  <c r="AO100" i="1"/>
  <c r="AL100" i="1"/>
  <c r="AK100" i="1"/>
  <c r="AH100" i="1"/>
  <c r="AG100" i="1"/>
  <c r="AF100" i="1"/>
  <c r="AC100" i="1"/>
  <c r="AB100" i="1"/>
  <c r="Z100" i="1"/>
  <c r="J100" i="1"/>
  <c r="AJ100" i="1" s="1"/>
  <c r="I100" i="1"/>
  <c r="H100" i="1"/>
  <c r="BJ99" i="1"/>
  <c r="BF99" i="1"/>
  <c r="BD99" i="1"/>
  <c r="AP99" i="1"/>
  <c r="AO99" i="1"/>
  <c r="AL99" i="1"/>
  <c r="AK99" i="1"/>
  <c r="AH99" i="1"/>
  <c r="AG99" i="1"/>
  <c r="AF99" i="1"/>
  <c r="AC99" i="1"/>
  <c r="AB99" i="1"/>
  <c r="Z99" i="1"/>
  <c r="J99" i="1"/>
  <c r="AJ99" i="1" s="1"/>
  <c r="I99" i="1"/>
  <c r="H99" i="1"/>
  <c r="AU98" i="1"/>
  <c r="AT98" i="1"/>
  <c r="AS98" i="1"/>
  <c r="J98" i="1"/>
  <c r="I98" i="1"/>
  <c r="H98" i="1"/>
  <c r="BJ97" i="1"/>
  <c r="BF97" i="1"/>
  <c r="BD97" i="1"/>
  <c r="AP97" i="1"/>
  <c r="AO97" i="1"/>
  <c r="AL97" i="1"/>
  <c r="AK97" i="1"/>
  <c r="AH97" i="1"/>
  <c r="AG97" i="1"/>
  <c r="AF97" i="1"/>
  <c r="AE97" i="1"/>
  <c r="AD97" i="1"/>
  <c r="AC97" i="1"/>
  <c r="AB97" i="1"/>
  <c r="Z97" i="1"/>
  <c r="J97" i="1"/>
  <c r="AJ97" i="1" s="1"/>
  <c r="I97" i="1"/>
  <c r="H97" i="1"/>
  <c r="BJ96" i="1"/>
  <c r="BF96" i="1"/>
  <c r="BD96" i="1"/>
  <c r="AP96" i="1"/>
  <c r="AO96" i="1"/>
  <c r="AL96" i="1"/>
  <c r="AK96" i="1"/>
  <c r="AH96" i="1"/>
  <c r="AG96" i="1"/>
  <c r="AF96" i="1"/>
  <c r="AE96" i="1"/>
  <c r="AD96" i="1"/>
  <c r="AC96" i="1"/>
  <c r="AB96" i="1"/>
  <c r="Z96" i="1"/>
  <c r="J96" i="1"/>
  <c r="AJ96" i="1" s="1"/>
  <c r="I96" i="1"/>
  <c r="H96" i="1"/>
  <c r="BJ95" i="1"/>
  <c r="BF95" i="1"/>
  <c r="BD95" i="1"/>
  <c r="AP95" i="1"/>
  <c r="AO95" i="1"/>
  <c r="AL95" i="1"/>
  <c r="AK95" i="1"/>
  <c r="AH95" i="1"/>
  <c r="AG95" i="1"/>
  <c r="AF95" i="1"/>
  <c r="AC95" i="1"/>
  <c r="AB95" i="1"/>
  <c r="Z95" i="1"/>
  <c r="J95" i="1"/>
  <c r="AJ95" i="1" s="1"/>
  <c r="I95" i="1"/>
  <c r="H95" i="1"/>
  <c r="BJ94" i="1"/>
  <c r="BF94" i="1"/>
  <c r="BD94" i="1"/>
  <c r="AP94" i="1"/>
  <c r="AO94" i="1"/>
  <c r="AL94" i="1"/>
  <c r="AK94" i="1"/>
  <c r="AH94" i="1"/>
  <c r="AG94" i="1"/>
  <c r="AF94" i="1"/>
  <c r="AC94" i="1"/>
  <c r="AB94" i="1"/>
  <c r="Z94" i="1"/>
  <c r="J94" i="1"/>
  <c r="AJ94" i="1" s="1"/>
  <c r="I94" i="1"/>
  <c r="H94" i="1"/>
  <c r="BJ93" i="1"/>
  <c r="BF93" i="1"/>
  <c r="BD93" i="1"/>
  <c r="AP93" i="1"/>
  <c r="AO93" i="1"/>
  <c r="AL93" i="1"/>
  <c r="AK93" i="1"/>
  <c r="AH93" i="1"/>
  <c r="AG93" i="1"/>
  <c r="AF93" i="1"/>
  <c r="AC93" i="1"/>
  <c r="AB93" i="1"/>
  <c r="Z93" i="1"/>
  <c r="J93" i="1"/>
  <c r="AJ93" i="1" s="1"/>
  <c r="I93" i="1"/>
  <c r="H93" i="1"/>
  <c r="AU92" i="1"/>
  <c r="AT92" i="1"/>
  <c r="AS92" i="1"/>
  <c r="J92" i="1"/>
  <c r="I92" i="1"/>
  <c r="H92" i="1"/>
  <c r="BJ91" i="1"/>
  <c r="BF91" i="1"/>
  <c r="BD91" i="1"/>
  <c r="AP91" i="1"/>
  <c r="AO91" i="1"/>
  <c r="AL91" i="1"/>
  <c r="AK91" i="1"/>
  <c r="AH91" i="1"/>
  <c r="AG91" i="1"/>
  <c r="AF91" i="1"/>
  <c r="AC91" i="1"/>
  <c r="AB91" i="1"/>
  <c r="Z91" i="1"/>
  <c r="J91" i="1"/>
  <c r="AJ91" i="1" s="1"/>
  <c r="I91" i="1"/>
  <c r="H91" i="1"/>
  <c r="AU90" i="1"/>
  <c r="AT90" i="1"/>
  <c r="AS90" i="1"/>
  <c r="J90" i="1"/>
  <c r="I90" i="1"/>
  <c r="H90" i="1"/>
  <c r="J89" i="1"/>
  <c r="I89" i="1"/>
  <c r="H89" i="1"/>
  <c r="BM88" i="1"/>
  <c r="BJ88" i="1"/>
  <c r="BF88" i="1"/>
  <c r="BD88" i="1"/>
  <c r="AP88" i="1"/>
  <c r="AO88" i="1"/>
  <c r="AL88" i="1"/>
  <c r="AK88" i="1"/>
  <c r="AH88" i="1"/>
  <c r="AG88" i="1"/>
  <c r="AF88" i="1"/>
  <c r="AE88" i="1"/>
  <c r="AD88" i="1"/>
  <c r="AC88" i="1"/>
  <c r="AB88" i="1"/>
  <c r="Z88" i="1"/>
  <c r="J88" i="1"/>
  <c r="AJ88" i="1" s="1"/>
  <c r="I88" i="1"/>
  <c r="H88" i="1"/>
  <c r="BM87" i="1"/>
  <c r="BJ87" i="1"/>
  <c r="BF87" i="1"/>
  <c r="BD87" i="1"/>
  <c r="AP87" i="1"/>
  <c r="AO87" i="1"/>
  <c r="AL87" i="1"/>
  <c r="AK87" i="1"/>
  <c r="AH87" i="1"/>
  <c r="AG87" i="1"/>
  <c r="AF87" i="1"/>
  <c r="AE87" i="1"/>
  <c r="AD87" i="1"/>
  <c r="AC87" i="1"/>
  <c r="AB87" i="1"/>
  <c r="Z87" i="1"/>
  <c r="J87" i="1"/>
  <c r="AJ87" i="1" s="1"/>
  <c r="I87" i="1"/>
  <c r="H87" i="1"/>
  <c r="BM86" i="1"/>
  <c r="BJ86" i="1"/>
  <c r="BF86" i="1"/>
  <c r="BD86" i="1"/>
  <c r="AP86" i="1"/>
  <c r="AO86" i="1"/>
  <c r="AL86" i="1"/>
  <c r="AK86" i="1"/>
  <c r="AH86" i="1"/>
  <c r="AG86" i="1"/>
  <c r="AF86" i="1"/>
  <c r="AE86" i="1"/>
  <c r="AD86" i="1"/>
  <c r="AC86" i="1"/>
  <c r="AB86" i="1"/>
  <c r="Z86" i="1"/>
  <c r="J86" i="1"/>
  <c r="AJ86" i="1" s="1"/>
  <c r="I86" i="1"/>
  <c r="H86" i="1"/>
  <c r="BM85" i="1"/>
  <c r="BJ85" i="1"/>
  <c r="BF85" i="1"/>
  <c r="BD85" i="1"/>
  <c r="AP85" i="1"/>
  <c r="AO85" i="1"/>
  <c r="AL85" i="1"/>
  <c r="AK85" i="1"/>
  <c r="AH85" i="1"/>
  <c r="AG85" i="1"/>
  <c r="AF85" i="1"/>
  <c r="AE85" i="1"/>
  <c r="AD85" i="1"/>
  <c r="AC85" i="1"/>
  <c r="AB85" i="1"/>
  <c r="Z85" i="1"/>
  <c r="J85" i="1"/>
  <c r="AJ85" i="1" s="1"/>
  <c r="I85" i="1"/>
  <c r="H85" i="1"/>
  <c r="BM84" i="1"/>
  <c r="F35" i="3" s="1"/>
  <c r="I35" i="3" s="1"/>
  <c r="I45" i="3" s="1"/>
  <c r="I24" i="2" s="1"/>
  <c r="BJ84" i="1"/>
  <c r="BF84" i="1"/>
  <c r="BD84" i="1"/>
  <c r="AP84" i="1"/>
  <c r="AO84" i="1"/>
  <c r="AL84" i="1"/>
  <c r="AK84" i="1"/>
  <c r="AH84" i="1"/>
  <c r="AG84" i="1"/>
  <c r="AF84" i="1"/>
  <c r="AE84" i="1"/>
  <c r="AD84" i="1"/>
  <c r="AC84" i="1"/>
  <c r="AB84" i="1"/>
  <c r="Z84" i="1"/>
  <c r="J84" i="1"/>
  <c r="AJ84" i="1" s="1"/>
  <c r="I84" i="1"/>
  <c r="H84" i="1"/>
  <c r="AU83" i="1"/>
  <c r="AT83" i="1"/>
  <c r="AS83" i="1"/>
  <c r="J83" i="1"/>
  <c r="I83" i="1"/>
  <c r="H83" i="1"/>
  <c r="J82" i="1"/>
  <c r="I82" i="1"/>
  <c r="H82" i="1"/>
  <c r="BJ81" i="1"/>
  <c r="BF81" i="1"/>
  <c r="BD81" i="1"/>
  <c r="AP81" i="1"/>
  <c r="AO81" i="1"/>
  <c r="AL81" i="1"/>
  <c r="AK81" i="1"/>
  <c r="AH81" i="1"/>
  <c r="AG81" i="1"/>
  <c r="AF81" i="1"/>
  <c r="AC81" i="1"/>
  <c r="AB81" i="1"/>
  <c r="Z81" i="1"/>
  <c r="J81" i="1"/>
  <c r="AJ81" i="1" s="1"/>
  <c r="I81" i="1"/>
  <c r="H81" i="1"/>
  <c r="BJ80" i="1"/>
  <c r="BF80" i="1"/>
  <c r="BD80" i="1"/>
  <c r="AP80" i="1"/>
  <c r="AO80" i="1"/>
  <c r="AL80" i="1"/>
  <c r="AK80" i="1"/>
  <c r="AH80" i="1"/>
  <c r="AG80" i="1"/>
  <c r="AF80" i="1"/>
  <c r="AC80" i="1"/>
  <c r="AB80" i="1"/>
  <c r="Z80" i="1"/>
  <c r="J80" i="1"/>
  <c r="AJ80" i="1" s="1"/>
  <c r="I80" i="1"/>
  <c r="H80" i="1"/>
  <c r="BJ79" i="1"/>
  <c r="BF79" i="1"/>
  <c r="BD79" i="1"/>
  <c r="AP79" i="1"/>
  <c r="AO79" i="1"/>
  <c r="AL79" i="1"/>
  <c r="AK79" i="1"/>
  <c r="AH79" i="1"/>
  <c r="AG79" i="1"/>
  <c r="AF79" i="1"/>
  <c r="AC79" i="1"/>
  <c r="AB79" i="1"/>
  <c r="Z79" i="1"/>
  <c r="J79" i="1"/>
  <c r="AJ79" i="1" s="1"/>
  <c r="I79" i="1"/>
  <c r="H79" i="1"/>
  <c r="BJ78" i="1"/>
  <c r="BF78" i="1"/>
  <c r="BD78" i="1"/>
  <c r="AP78" i="1"/>
  <c r="AO78" i="1"/>
  <c r="AL78" i="1"/>
  <c r="AK78" i="1"/>
  <c r="AH78" i="1"/>
  <c r="AG78" i="1"/>
  <c r="AF78" i="1"/>
  <c r="AC78" i="1"/>
  <c r="AB78" i="1"/>
  <c r="Z78" i="1"/>
  <c r="J78" i="1"/>
  <c r="AJ78" i="1" s="1"/>
  <c r="I78" i="1"/>
  <c r="H78" i="1"/>
  <c r="BJ77" i="1"/>
  <c r="BF77" i="1"/>
  <c r="BD77" i="1"/>
  <c r="AP77" i="1"/>
  <c r="AO77" i="1"/>
  <c r="AL77" i="1"/>
  <c r="AK77" i="1"/>
  <c r="AH77" i="1"/>
  <c r="AG77" i="1"/>
  <c r="AF77" i="1"/>
  <c r="AC77" i="1"/>
  <c r="AB77" i="1"/>
  <c r="Z77" i="1"/>
  <c r="J77" i="1"/>
  <c r="AJ77" i="1" s="1"/>
  <c r="I77" i="1"/>
  <c r="H77" i="1"/>
  <c r="BJ76" i="1"/>
  <c r="BF76" i="1"/>
  <c r="BD76" i="1"/>
  <c r="AP76" i="1"/>
  <c r="AO76" i="1"/>
  <c r="AL76" i="1"/>
  <c r="AK76" i="1"/>
  <c r="AH76" i="1"/>
  <c r="AG76" i="1"/>
  <c r="AF76" i="1"/>
  <c r="AC76" i="1"/>
  <c r="AB76" i="1"/>
  <c r="Z76" i="1"/>
  <c r="J76" i="1"/>
  <c r="AJ76" i="1" s="1"/>
  <c r="I76" i="1"/>
  <c r="H76" i="1"/>
  <c r="BJ75" i="1"/>
  <c r="BF75" i="1"/>
  <c r="BD75" i="1"/>
  <c r="AP75" i="1"/>
  <c r="AO75" i="1"/>
  <c r="AL75" i="1"/>
  <c r="AK75" i="1"/>
  <c r="AH75" i="1"/>
  <c r="AG75" i="1"/>
  <c r="AF75" i="1"/>
  <c r="AC75" i="1"/>
  <c r="AB75" i="1"/>
  <c r="Z75" i="1"/>
  <c r="J75" i="1"/>
  <c r="AJ75" i="1" s="1"/>
  <c r="I75" i="1"/>
  <c r="H75" i="1"/>
  <c r="BJ74" i="1"/>
  <c r="BF74" i="1"/>
  <c r="BD74" i="1"/>
  <c r="AP74" i="1"/>
  <c r="AO74" i="1"/>
  <c r="AL74" i="1"/>
  <c r="AK74" i="1"/>
  <c r="AH74" i="1"/>
  <c r="AG74" i="1"/>
  <c r="AF74" i="1"/>
  <c r="AC74" i="1"/>
  <c r="AB74" i="1"/>
  <c r="Z74" i="1"/>
  <c r="J74" i="1"/>
  <c r="AJ74" i="1" s="1"/>
  <c r="I74" i="1"/>
  <c r="H74" i="1"/>
  <c r="BJ73" i="1"/>
  <c r="BF73" i="1"/>
  <c r="BD73" i="1"/>
  <c r="AP73" i="1"/>
  <c r="AO73" i="1"/>
  <c r="AL73" i="1"/>
  <c r="AK73" i="1"/>
  <c r="AH73" i="1"/>
  <c r="AG73" i="1"/>
  <c r="AF73" i="1"/>
  <c r="AC73" i="1"/>
  <c r="AB73" i="1"/>
  <c r="Z73" i="1"/>
  <c r="J73" i="1"/>
  <c r="AJ73" i="1" s="1"/>
  <c r="I73" i="1"/>
  <c r="H73" i="1"/>
  <c r="AU72" i="1"/>
  <c r="AT72" i="1"/>
  <c r="AS72" i="1"/>
  <c r="J72" i="1"/>
  <c r="I72" i="1"/>
  <c r="H72" i="1"/>
  <c r="BJ71" i="1"/>
  <c r="BF71" i="1"/>
  <c r="BD71" i="1"/>
  <c r="AP71" i="1"/>
  <c r="AO71" i="1"/>
  <c r="AL71" i="1"/>
  <c r="AK71" i="1"/>
  <c r="AH71" i="1"/>
  <c r="AG71" i="1"/>
  <c r="AF71" i="1"/>
  <c r="AC71" i="1"/>
  <c r="AB71" i="1"/>
  <c r="Z71" i="1"/>
  <c r="J71" i="1"/>
  <c r="AJ71" i="1" s="1"/>
  <c r="I71" i="1"/>
  <c r="H71" i="1"/>
  <c r="BJ70" i="1"/>
  <c r="BF70" i="1"/>
  <c r="BD70" i="1"/>
  <c r="AP70" i="1"/>
  <c r="AO70" i="1"/>
  <c r="AL70" i="1"/>
  <c r="AK70" i="1"/>
  <c r="AH70" i="1"/>
  <c r="AG70" i="1"/>
  <c r="AF70" i="1"/>
  <c r="AC70" i="1"/>
  <c r="AB70" i="1"/>
  <c r="Z70" i="1"/>
  <c r="J70" i="1"/>
  <c r="AJ70" i="1" s="1"/>
  <c r="I70" i="1"/>
  <c r="H70" i="1"/>
  <c r="BJ69" i="1"/>
  <c r="BF69" i="1"/>
  <c r="BD69" i="1"/>
  <c r="AP69" i="1"/>
  <c r="AO69" i="1"/>
  <c r="AL69" i="1"/>
  <c r="AK69" i="1"/>
  <c r="AH69" i="1"/>
  <c r="AG69" i="1"/>
  <c r="AF69" i="1"/>
  <c r="AC69" i="1"/>
  <c r="AB69" i="1"/>
  <c r="Z69" i="1"/>
  <c r="J69" i="1"/>
  <c r="AJ69" i="1" s="1"/>
  <c r="I69" i="1"/>
  <c r="H69" i="1"/>
  <c r="BJ68" i="1"/>
  <c r="BF68" i="1"/>
  <c r="BD68" i="1"/>
  <c r="AP68" i="1"/>
  <c r="AO68" i="1"/>
  <c r="AL68" i="1"/>
  <c r="AK68" i="1"/>
  <c r="AH68" i="1"/>
  <c r="AG68" i="1"/>
  <c r="AF68" i="1"/>
  <c r="AC68" i="1"/>
  <c r="AB68" i="1"/>
  <c r="Z68" i="1"/>
  <c r="J68" i="1"/>
  <c r="AJ68" i="1" s="1"/>
  <c r="I68" i="1"/>
  <c r="H68" i="1"/>
  <c r="AU67" i="1"/>
  <c r="AT67" i="1"/>
  <c r="AS67" i="1"/>
  <c r="J67" i="1"/>
  <c r="I67" i="1"/>
  <c r="H67" i="1"/>
  <c r="BJ66" i="1"/>
  <c r="BF66" i="1"/>
  <c r="BD66" i="1"/>
  <c r="AP66" i="1"/>
  <c r="AO66" i="1"/>
  <c r="AL66" i="1"/>
  <c r="AK66" i="1"/>
  <c r="AH66" i="1"/>
  <c r="AG66" i="1"/>
  <c r="AF66" i="1"/>
  <c r="AC66" i="1"/>
  <c r="AB66" i="1"/>
  <c r="Z66" i="1"/>
  <c r="J66" i="1"/>
  <c r="AJ66" i="1" s="1"/>
  <c r="I66" i="1"/>
  <c r="H66" i="1"/>
  <c r="AU65" i="1"/>
  <c r="AT65" i="1"/>
  <c r="AS65" i="1"/>
  <c r="J65" i="1"/>
  <c r="I65" i="1"/>
  <c r="H65" i="1"/>
  <c r="BJ64" i="1"/>
  <c r="BF64" i="1"/>
  <c r="BD64" i="1"/>
  <c r="AP64" i="1"/>
  <c r="AO64" i="1"/>
  <c r="AL64" i="1"/>
  <c r="AK64" i="1"/>
  <c r="AH64" i="1"/>
  <c r="AG64" i="1"/>
  <c r="AF64" i="1"/>
  <c r="AC64" i="1"/>
  <c r="AB64" i="1"/>
  <c r="Z64" i="1"/>
  <c r="J64" i="1"/>
  <c r="AJ64" i="1" s="1"/>
  <c r="I64" i="1"/>
  <c r="H64" i="1"/>
  <c r="BJ63" i="1"/>
  <c r="BF63" i="1"/>
  <c r="BD63" i="1"/>
  <c r="AP63" i="1"/>
  <c r="AO63" i="1"/>
  <c r="AL63" i="1"/>
  <c r="AK63" i="1"/>
  <c r="AH63" i="1"/>
  <c r="AG63" i="1"/>
  <c r="AF63" i="1"/>
  <c r="AC63" i="1"/>
  <c r="AB63" i="1"/>
  <c r="Z63" i="1"/>
  <c r="J63" i="1"/>
  <c r="AJ63" i="1" s="1"/>
  <c r="I63" i="1"/>
  <c r="H63" i="1"/>
  <c r="BJ62" i="1"/>
  <c r="BF62" i="1"/>
  <c r="BD62" i="1"/>
  <c r="AP62" i="1"/>
  <c r="AO62" i="1"/>
  <c r="AL62" i="1"/>
  <c r="AK62" i="1"/>
  <c r="AH62" i="1"/>
  <c r="AG62" i="1"/>
  <c r="AF62" i="1"/>
  <c r="AC62" i="1"/>
  <c r="AB62" i="1"/>
  <c r="Z62" i="1"/>
  <c r="J62" i="1"/>
  <c r="AJ62" i="1" s="1"/>
  <c r="I62" i="1"/>
  <c r="H62" i="1"/>
  <c r="BJ61" i="1"/>
  <c r="BF61" i="1"/>
  <c r="BD61" i="1"/>
  <c r="AP61" i="1"/>
  <c r="AO61" i="1"/>
  <c r="AL61" i="1"/>
  <c r="AK61" i="1"/>
  <c r="AH61" i="1"/>
  <c r="AG61" i="1"/>
  <c r="AF61" i="1"/>
  <c r="AC61" i="1"/>
  <c r="AB61" i="1"/>
  <c r="Z61" i="1"/>
  <c r="J61" i="1"/>
  <c r="AJ61" i="1" s="1"/>
  <c r="I61" i="1"/>
  <c r="H61" i="1"/>
  <c r="BJ60" i="1"/>
  <c r="BF60" i="1"/>
  <c r="BD60" i="1"/>
  <c r="AP60" i="1"/>
  <c r="AO60" i="1"/>
  <c r="AL60" i="1"/>
  <c r="AK60" i="1"/>
  <c r="AH60" i="1"/>
  <c r="AG60" i="1"/>
  <c r="AF60" i="1"/>
  <c r="AE60" i="1"/>
  <c r="AD60" i="1"/>
  <c r="AC60" i="1"/>
  <c r="AB60" i="1"/>
  <c r="Z60" i="1"/>
  <c r="J60" i="1"/>
  <c r="AJ60" i="1" s="1"/>
  <c r="I60" i="1"/>
  <c r="H60" i="1"/>
  <c r="BJ59" i="1"/>
  <c r="BF59" i="1"/>
  <c r="BD59" i="1"/>
  <c r="AP59" i="1"/>
  <c r="AO59" i="1"/>
  <c r="AL59" i="1"/>
  <c r="AK59" i="1"/>
  <c r="AH59" i="1"/>
  <c r="AG59" i="1"/>
  <c r="AF59" i="1"/>
  <c r="AE59" i="1"/>
  <c r="AD59" i="1"/>
  <c r="AC59" i="1"/>
  <c r="AB59" i="1"/>
  <c r="Z59" i="1"/>
  <c r="J59" i="1"/>
  <c r="AJ59" i="1" s="1"/>
  <c r="I59" i="1"/>
  <c r="H59" i="1"/>
  <c r="BJ58" i="1"/>
  <c r="BF58" i="1"/>
  <c r="BD58" i="1"/>
  <c r="AP58" i="1"/>
  <c r="AO58" i="1"/>
  <c r="AL58" i="1"/>
  <c r="AK58" i="1"/>
  <c r="AH58" i="1"/>
  <c r="AG58" i="1"/>
  <c r="AF58" i="1"/>
  <c r="AC58" i="1"/>
  <c r="AB58" i="1"/>
  <c r="Z58" i="1"/>
  <c r="J58" i="1"/>
  <c r="AJ58" i="1" s="1"/>
  <c r="I58" i="1"/>
  <c r="H58" i="1"/>
  <c r="BJ57" i="1"/>
  <c r="BF57" i="1"/>
  <c r="BD57" i="1"/>
  <c r="AP57" i="1"/>
  <c r="AO57" i="1"/>
  <c r="AL57" i="1"/>
  <c r="AK57" i="1"/>
  <c r="AH57" i="1"/>
  <c r="AG57" i="1"/>
  <c r="AF57" i="1"/>
  <c r="AC57" i="1"/>
  <c r="AB57" i="1"/>
  <c r="Z57" i="1"/>
  <c r="J57" i="1"/>
  <c r="AJ57" i="1" s="1"/>
  <c r="I57" i="1"/>
  <c r="H57" i="1"/>
  <c r="BJ56" i="1"/>
  <c r="BF56" i="1"/>
  <c r="BD56" i="1"/>
  <c r="AP56" i="1"/>
  <c r="AO56" i="1"/>
  <c r="AL56" i="1"/>
  <c r="AK56" i="1"/>
  <c r="AH56" i="1"/>
  <c r="AG56" i="1"/>
  <c r="AF56" i="1"/>
  <c r="AC56" i="1"/>
  <c r="AB56" i="1"/>
  <c r="Z56" i="1"/>
  <c r="J56" i="1"/>
  <c r="AJ56" i="1" s="1"/>
  <c r="I56" i="1"/>
  <c r="H56" i="1"/>
  <c r="BJ55" i="1"/>
  <c r="BF55" i="1"/>
  <c r="BD55" i="1"/>
  <c r="AP55" i="1"/>
  <c r="AO55" i="1"/>
  <c r="AL55" i="1"/>
  <c r="AK55" i="1"/>
  <c r="AH55" i="1"/>
  <c r="AG55" i="1"/>
  <c r="AF55" i="1"/>
  <c r="AC55" i="1"/>
  <c r="AB55" i="1"/>
  <c r="Z55" i="1"/>
  <c r="J55" i="1"/>
  <c r="AJ55" i="1" s="1"/>
  <c r="I55" i="1"/>
  <c r="H55" i="1"/>
  <c r="BJ54" i="1"/>
  <c r="BF54" i="1"/>
  <c r="BD54" i="1"/>
  <c r="AP54" i="1"/>
  <c r="AO54" i="1"/>
  <c r="AL54" i="1"/>
  <c r="AK54" i="1"/>
  <c r="AH54" i="1"/>
  <c r="AG54" i="1"/>
  <c r="AF54" i="1"/>
  <c r="AC54" i="1"/>
  <c r="AB54" i="1"/>
  <c r="Z54" i="1"/>
  <c r="J54" i="1"/>
  <c r="AJ54" i="1" s="1"/>
  <c r="I54" i="1"/>
  <c r="H54" i="1"/>
  <c r="BJ53" i="1"/>
  <c r="BF53" i="1"/>
  <c r="BD53" i="1"/>
  <c r="AP53" i="1"/>
  <c r="AO53" i="1"/>
  <c r="AL53" i="1"/>
  <c r="AK53" i="1"/>
  <c r="AH53" i="1"/>
  <c r="AG53" i="1"/>
  <c r="AF53" i="1"/>
  <c r="AC53" i="1"/>
  <c r="AB53" i="1"/>
  <c r="Z53" i="1"/>
  <c r="J53" i="1"/>
  <c r="AJ53" i="1" s="1"/>
  <c r="I53" i="1"/>
  <c r="H53" i="1"/>
  <c r="BJ52" i="1"/>
  <c r="BF52" i="1"/>
  <c r="BD52" i="1"/>
  <c r="AP52" i="1"/>
  <c r="AO52" i="1"/>
  <c r="AL52" i="1"/>
  <c r="AK52" i="1"/>
  <c r="AH52" i="1"/>
  <c r="AG52" i="1"/>
  <c r="AF52" i="1"/>
  <c r="AC52" i="1"/>
  <c r="AB52" i="1"/>
  <c r="Z52" i="1"/>
  <c r="J52" i="1"/>
  <c r="AJ52" i="1" s="1"/>
  <c r="I52" i="1"/>
  <c r="H52" i="1"/>
  <c r="BJ51" i="1"/>
  <c r="BF51" i="1"/>
  <c r="BD51" i="1"/>
  <c r="AP51" i="1"/>
  <c r="AO51" i="1"/>
  <c r="AL51" i="1"/>
  <c r="AK51" i="1"/>
  <c r="AH51" i="1"/>
  <c r="AG51" i="1"/>
  <c r="AF51" i="1"/>
  <c r="AC51" i="1"/>
  <c r="AB51" i="1"/>
  <c r="Z51" i="1"/>
  <c r="J51" i="1"/>
  <c r="AJ51" i="1" s="1"/>
  <c r="I51" i="1"/>
  <c r="H51" i="1"/>
  <c r="BJ50" i="1"/>
  <c r="BF50" i="1"/>
  <c r="BD50" i="1"/>
  <c r="AP50" i="1"/>
  <c r="AO50" i="1"/>
  <c r="AL50" i="1"/>
  <c r="AK50" i="1"/>
  <c r="AH50" i="1"/>
  <c r="AG50" i="1"/>
  <c r="AF50" i="1"/>
  <c r="AC50" i="1"/>
  <c r="AB50" i="1"/>
  <c r="Z50" i="1"/>
  <c r="J50" i="1"/>
  <c r="AJ50" i="1" s="1"/>
  <c r="I50" i="1"/>
  <c r="H50" i="1"/>
  <c r="BJ49" i="1"/>
  <c r="BF49" i="1"/>
  <c r="BD49" i="1"/>
  <c r="AP49" i="1"/>
  <c r="AO49" i="1"/>
  <c r="AL49" i="1"/>
  <c r="AK49" i="1"/>
  <c r="AH49" i="1"/>
  <c r="AG49" i="1"/>
  <c r="AF49" i="1"/>
  <c r="AC49" i="1"/>
  <c r="AB49" i="1"/>
  <c r="Z49" i="1"/>
  <c r="J49" i="1"/>
  <c r="AJ49" i="1" s="1"/>
  <c r="I49" i="1"/>
  <c r="H49" i="1"/>
  <c r="BJ48" i="1"/>
  <c r="BF48" i="1"/>
  <c r="BD48" i="1"/>
  <c r="AP48" i="1"/>
  <c r="AO48" i="1"/>
  <c r="AL48" i="1"/>
  <c r="AK48" i="1"/>
  <c r="AH48" i="1"/>
  <c r="AG48" i="1"/>
  <c r="AF48" i="1"/>
  <c r="AC48" i="1"/>
  <c r="AB48" i="1"/>
  <c r="Z48" i="1"/>
  <c r="J48" i="1"/>
  <c r="AJ48" i="1" s="1"/>
  <c r="I48" i="1"/>
  <c r="H48" i="1"/>
  <c r="BJ47" i="1"/>
  <c r="BF47" i="1"/>
  <c r="BD47" i="1"/>
  <c r="AP47" i="1"/>
  <c r="AO47" i="1"/>
  <c r="AL47" i="1"/>
  <c r="AK47" i="1"/>
  <c r="AH47" i="1"/>
  <c r="AG47" i="1"/>
  <c r="AF47" i="1"/>
  <c r="AC47" i="1"/>
  <c r="AB47" i="1"/>
  <c r="Z47" i="1"/>
  <c r="J47" i="1"/>
  <c r="AJ47" i="1" s="1"/>
  <c r="I47" i="1"/>
  <c r="H47" i="1"/>
  <c r="BJ46" i="1"/>
  <c r="BF46" i="1"/>
  <c r="BD46" i="1"/>
  <c r="AP46" i="1"/>
  <c r="AO46" i="1"/>
  <c r="AL46" i="1"/>
  <c r="AK46" i="1"/>
  <c r="AH46" i="1"/>
  <c r="AG46" i="1"/>
  <c r="AF46" i="1"/>
  <c r="AC46" i="1"/>
  <c r="AB46" i="1"/>
  <c r="Z46" i="1"/>
  <c r="J46" i="1"/>
  <c r="AJ46" i="1" s="1"/>
  <c r="I46" i="1"/>
  <c r="H46" i="1"/>
  <c r="BJ45" i="1"/>
  <c r="BF45" i="1"/>
  <c r="BD45" i="1"/>
  <c r="AP45" i="1"/>
  <c r="AO45" i="1"/>
  <c r="AL45" i="1"/>
  <c r="AK45" i="1"/>
  <c r="AH45" i="1"/>
  <c r="AG45" i="1"/>
  <c r="AF45" i="1"/>
  <c r="AC45" i="1"/>
  <c r="AB45" i="1"/>
  <c r="Z45" i="1"/>
  <c r="J45" i="1"/>
  <c r="AJ45" i="1" s="1"/>
  <c r="I45" i="1"/>
  <c r="H45" i="1"/>
  <c r="BJ44" i="1"/>
  <c r="BF44" i="1"/>
  <c r="BD44" i="1"/>
  <c r="AP44" i="1"/>
  <c r="AO44" i="1"/>
  <c r="AL44" i="1"/>
  <c r="AK44" i="1"/>
  <c r="AH44" i="1"/>
  <c r="AG44" i="1"/>
  <c r="AF44" i="1"/>
  <c r="AC44" i="1"/>
  <c r="AB44" i="1"/>
  <c r="Z44" i="1"/>
  <c r="J44" i="1"/>
  <c r="AJ44" i="1" s="1"/>
  <c r="I44" i="1"/>
  <c r="H44" i="1"/>
  <c r="BJ43" i="1"/>
  <c r="BF43" i="1"/>
  <c r="BD43" i="1"/>
  <c r="AP43" i="1"/>
  <c r="AO43" i="1"/>
  <c r="AL43" i="1"/>
  <c r="AK43" i="1"/>
  <c r="AH43" i="1"/>
  <c r="AG43" i="1"/>
  <c r="AF43" i="1"/>
  <c r="AC43" i="1"/>
  <c r="AB43" i="1"/>
  <c r="Z43" i="1"/>
  <c r="J43" i="1"/>
  <c r="AJ43" i="1" s="1"/>
  <c r="I43" i="1"/>
  <c r="H43" i="1"/>
  <c r="BJ42" i="1"/>
  <c r="BF42" i="1"/>
  <c r="BD42" i="1"/>
  <c r="AP42" i="1"/>
  <c r="AO42" i="1"/>
  <c r="AL42" i="1"/>
  <c r="AK42" i="1"/>
  <c r="AH42" i="1"/>
  <c r="AG42" i="1"/>
  <c r="AF42" i="1"/>
  <c r="AC42" i="1"/>
  <c r="AB42" i="1"/>
  <c r="Z42" i="1"/>
  <c r="J42" i="1"/>
  <c r="AJ42" i="1" s="1"/>
  <c r="I42" i="1"/>
  <c r="H42" i="1"/>
  <c r="BJ41" i="1"/>
  <c r="BF41" i="1"/>
  <c r="BD41" i="1"/>
  <c r="AP41" i="1"/>
  <c r="AO41" i="1"/>
  <c r="AL41" i="1"/>
  <c r="AK41" i="1"/>
  <c r="AH41" i="1"/>
  <c r="AG41" i="1"/>
  <c r="AF41" i="1"/>
  <c r="AC41" i="1"/>
  <c r="AB41" i="1"/>
  <c r="Z41" i="1"/>
  <c r="J41" i="1"/>
  <c r="AJ41" i="1" s="1"/>
  <c r="I41" i="1"/>
  <c r="H41" i="1"/>
  <c r="BJ40" i="1"/>
  <c r="BF40" i="1"/>
  <c r="BD40" i="1"/>
  <c r="AP40" i="1"/>
  <c r="AO40" i="1"/>
  <c r="AL40" i="1"/>
  <c r="AK40" i="1"/>
  <c r="AH40" i="1"/>
  <c r="AG40" i="1"/>
  <c r="AF40" i="1"/>
  <c r="AC40" i="1"/>
  <c r="AB40" i="1"/>
  <c r="Z40" i="1"/>
  <c r="J40" i="1"/>
  <c r="AJ40" i="1" s="1"/>
  <c r="I40" i="1"/>
  <c r="H40" i="1"/>
  <c r="BJ39" i="1"/>
  <c r="BF39" i="1"/>
  <c r="BD39" i="1"/>
  <c r="AP39" i="1"/>
  <c r="AO39" i="1"/>
  <c r="AL39" i="1"/>
  <c r="AK39" i="1"/>
  <c r="AH39" i="1"/>
  <c r="AG39" i="1"/>
  <c r="AF39" i="1"/>
  <c r="AC39" i="1"/>
  <c r="AB39" i="1"/>
  <c r="Z39" i="1"/>
  <c r="J39" i="1"/>
  <c r="AJ39" i="1" s="1"/>
  <c r="I39" i="1"/>
  <c r="H39" i="1"/>
  <c r="AU38" i="1"/>
  <c r="AT38" i="1"/>
  <c r="AS38" i="1"/>
  <c r="J38" i="1"/>
  <c r="I38" i="1"/>
  <c r="H38" i="1"/>
  <c r="BJ37" i="1"/>
  <c r="BF37" i="1"/>
  <c r="BD37" i="1"/>
  <c r="AP37" i="1"/>
  <c r="AO37" i="1"/>
  <c r="AL37" i="1"/>
  <c r="AK37" i="1"/>
  <c r="AH37" i="1"/>
  <c r="AG37" i="1"/>
  <c r="AF37" i="1"/>
  <c r="AE37" i="1"/>
  <c r="AD37" i="1"/>
  <c r="AC37" i="1"/>
  <c r="AB37" i="1"/>
  <c r="Z37" i="1"/>
  <c r="J37" i="1"/>
  <c r="AJ37" i="1" s="1"/>
  <c r="I37" i="1"/>
  <c r="H37" i="1"/>
  <c r="BJ36" i="1"/>
  <c r="BF36" i="1"/>
  <c r="BD36" i="1"/>
  <c r="AP36" i="1"/>
  <c r="AO36" i="1"/>
  <c r="AL36" i="1"/>
  <c r="AK36" i="1"/>
  <c r="AH36" i="1"/>
  <c r="AG36" i="1"/>
  <c r="AF36" i="1"/>
  <c r="AE36" i="1"/>
  <c r="AD36" i="1"/>
  <c r="AC36" i="1"/>
  <c r="AB36" i="1"/>
  <c r="Z36" i="1"/>
  <c r="J36" i="1"/>
  <c r="AJ36" i="1" s="1"/>
  <c r="I36" i="1"/>
  <c r="H36" i="1"/>
  <c r="BJ35" i="1"/>
  <c r="BF35" i="1"/>
  <c r="BD35" i="1"/>
  <c r="AP35" i="1"/>
  <c r="AO35" i="1"/>
  <c r="AL35" i="1"/>
  <c r="AK35" i="1"/>
  <c r="AH35" i="1"/>
  <c r="AG35" i="1"/>
  <c r="AF35" i="1"/>
  <c r="AC35" i="1"/>
  <c r="AB35" i="1"/>
  <c r="Z35" i="1"/>
  <c r="J35" i="1"/>
  <c r="AJ35" i="1" s="1"/>
  <c r="I35" i="1"/>
  <c r="H35" i="1"/>
  <c r="BJ34" i="1"/>
  <c r="BF34" i="1"/>
  <c r="BD34" i="1"/>
  <c r="AP34" i="1"/>
  <c r="AO34" i="1"/>
  <c r="AL34" i="1"/>
  <c r="AK34" i="1"/>
  <c r="AH34" i="1"/>
  <c r="AG34" i="1"/>
  <c r="AF34" i="1"/>
  <c r="AC34" i="1"/>
  <c r="AB34" i="1"/>
  <c r="Z34" i="1"/>
  <c r="J34" i="1"/>
  <c r="AJ34" i="1" s="1"/>
  <c r="I34" i="1"/>
  <c r="H34" i="1"/>
  <c r="BJ33" i="1"/>
  <c r="BF33" i="1"/>
  <c r="BD33" i="1"/>
  <c r="AP33" i="1"/>
  <c r="AO33" i="1"/>
  <c r="AL33" i="1"/>
  <c r="AK33" i="1"/>
  <c r="AH33" i="1"/>
  <c r="AG33" i="1"/>
  <c r="AF33" i="1"/>
  <c r="AC33" i="1"/>
  <c r="AB33" i="1"/>
  <c r="Z33" i="1"/>
  <c r="J33" i="1"/>
  <c r="AJ33" i="1" s="1"/>
  <c r="I33" i="1"/>
  <c r="H33" i="1"/>
  <c r="BJ32" i="1"/>
  <c r="BF32" i="1"/>
  <c r="BD32" i="1"/>
  <c r="AP32" i="1"/>
  <c r="AO32" i="1"/>
  <c r="AL32" i="1"/>
  <c r="AK32" i="1"/>
  <c r="AH32" i="1"/>
  <c r="AG32" i="1"/>
  <c r="AF32" i="1"/>
  <c r="AC32" i="1"/>
  <c r="AB32" i="1"/>
  <c r="Z32" i="1"/>
  <c r="J32" i="1"/>
  <c r="AJ32" i="1" s="1"/>
  <c r="I32" i="1"/>
  <c r="H32" i="1"/>
  <c r="AU31" i="1"/>
  <c r="AT31" i="1"/>
  <c r="AS31" i="1"/>
  <c r="J31" i="1"/>
  <c r="I31" i="1"/>
  <c r="H31" i="1"/>
  <c r="BJ30" i="1"/>
  <c r="BF30" i="1"/>
  <c r="BD30" i="1"/>
  <c r="AP30" i="1"/>
  <c r="AO30" i="1"/>
  <c r="AL30" i="1"/>
  <c r="AK30" i="1"/>
  <c r="AH30" i="1"/>
  <c r="AG30" i="1"/>
  <c r="AF30" i="1"/>
  <c r="AE30" i="1"/>
  <c r="AD30" i="1"/>
  <c r="AC30" i="1"/>
  <c r="AB30" i="1"/>
  <c r="Z30" i="1"/>
  <c r="J30" i="1"/>
  <c r="AJ30" i="1" s="1"/>
  <c r="I30" i="1"/>
  <c r="H30" i="1"/>
  <c r="BJ29" i="1"/>
  <c r="BF29" i="1"/>
  <c r="BD29" i="1"/>
  <c r="AP29" i="1"/>
  <c r="AO29" i="1"/>
  <c r="AL29" i="1"/>
  <c r="AK29" i="1"/>
  <c r="AH29" i="1"/>
  <c r="AG29" i="1"/>
  <c r="AF29" i="1"/>
  <c r="AE29" i="1"/>
  <c r="AD29" i="1"/>
  <c r="AC29" i="1"/>
  <c r="AB29" i="1"/>
  <c r="Z29" i="1"/>
  <c r="J29" i="1"/>
  <c r="AJ29" i="1" s="1"/>
  <c r="I29" i="1"/>
  <c r="H29" i="1"/>
  <c r="BJ28" i="1"/>
  <c r="BF28" i="1"/>
  <c r="BD28" i="1"/>
  <c r="AP28" i="1"/>
  <c r="AO28" i="1"/>
  <c r="AL28" i="1"/>
  <c r="AK28" i="1"/>
  <c r="AH28" i="1"/>
  <c r="AG28" i="1"/>
  <c r="AF28" i="1"/>
  <c r="AC28" i="1"/>
  <c r="AB28" i="1"/>
  <c r="Z28" i="1"/>
  <c r="J28" i="1"/>
  <c r="AJ28" i="1" s="1"/>
  <c r="I28" i="1"/>
  <c r="H28" i="1"/>
  <c r="BJ27" i="1"/>
  <c r="BF27" i="1"/>
  <c r="BD27" i="1"/>
  <c r="AP27" i="1"/>
  <c r="AO27" i="1"/>
  <c r="AL27" i="1"/>
  <c r="AK27" i="1"/>
  <c r="AH27" i="1"/>
  <c r="AG27" i="1"/>
  <c r="AF27" i="1"/>
  <c r="AC27" i="1"/>
  <c r="AB27" i="1"/>
  <c r="Z27" i="1"/>
  <c r="J27" i="1"/>
  <c r="AJ27" i="1" s="1"/>
  <c r="I27" i="1"/>
  <c r="H27" i="1"/>
  <c r="BJ26" i="1"/>
  <c r="BF26" i="1"/>
  <c r="BD26" i="1"/>
  <c r="AP26" i="1"/>
  <c r="AO26" i="1"/>
  <c r="AL26" i="1"/>
  <c r="AK26" i="1"/>
  <c r="AH26" i="1"/>
  <c r="AG26" i="1"/>
  <c r="AF26" i="1"/>
  <c r="AC26" i="1"/>
  <c r="AB26" i="1"/>
  <c r="Z26" i="1"/>
  <c r="J26" i="1"/>
  <c r="AJ26" i="1" s="1"/>
  <c r="I26" i="1"/>
  <c r="H26" i="1"/>
  <c r="BJ25" i="1"/>
  <c r="BF25" i="1"/>
  <c r="BD25" i="1"/>
  <c r="AP25" i="1"/>
  <c r="AO25" i="1"/>
  <c r="AL25" i="1"/>
  <c r="AK25" i="1"/>
  <c r="AH25" i="1"/>
  <c r="AG25" i="1"/>
  <c r="AF25" i="1"/>
  <c r="AC25" i="1"/>
  <c r="AB25" i="1"/>
  <c r="Z25" i="1"/>
  <c r="J25" i="1"/>
  <c r="AJ25" i="1" s="1"/>
  <c r="I25" i="1"/>
  <c r="H25" i="1"/>
  <c r="BJ24" i="1"/>
  <c r="BF24" i="1"/>
  <c r="BD24" i="1"/>
  <c r="AP24" i="1"/>
  <c r="AO24" i="1"/>
  <c r="AL24" i="1"/>
  <c r="AK24" i="1"/>
  <c r="AH24" i="1"/>
  <c r="AG24" i="1"/>
  <c r="AF24" i="1"/>
  <c r="AC24" i="1"/>
  <c r="AB24" i="1"/>
  <c r="Z24" i="1"/>
  <c r="J24" i="1"/>
  <c r="AJ24" i="1" s="1"/>
  <c r="I24" i="1"/>
  <c r="H24" i="1"/>
  <c r="BJ23" i="1"/>
  <c r="BF23" i="1"/>
  <c r="BD23" i="1"/>
  <c r="AP23" i="1"/>
  <c r="AO23" i="1"/>
  <c r="AL23" i="1"/>
  <c r="AK23" i="1"/>
  <c r="AH23" i="1"/>
  <c r="AG23" i="1"/>
  <c r="AF23" i="1"/>
  <c r="AC23" i="1"/>
  <c r="AB23" i="1"/>
  <c r="Z23" i="1"/>
  <c r="J23" i="1"/>
  <c r="AJ23" i="1" s="1"/>
  <c r="I23" i="1"/>
  <c r="H23" i="1"/>
  <c r="BJ22" i="1"/>
  <c r="BF22" i="1"/>
  <c r="BD22" i="1"/>
  <c r="AP22" i="1"/>
  <c r="AO22" i="1"/>
  <c r="AL22" i="1"/>
  <c r="AK22" i="1"/>
  <c r="AH22" i="1"/>
  <c r="AG22" i="1"/>
  <c r="AF22" i="1"/>
  <c r="AC22" i="1"/>
  <c r="AB22" i="1"/>
  <c r="Z22" i="1"/>
  <c r="J22" i="1"/>
  <c r="AJ22" i="1" s="1"/>
  <c r="I22" i="1"/>
  <c r="H22" i="1"/>
  <c r="BJ21" i="1"/>
  <c r="BF21" i="1"/>
  <c r="BD21" i="1"/>
  <c r="AP21" i="1"/>
  <c r="AO21" i="1"/>
  <c r="AL21" i="1"/>
  <c r="AK21" i="1"/>
  <c r="AH21" i="1"/>
  <c r="AG21" i="1"/>
  <c r="AF21" i="1"/>
  <c r="AC21" i="1"/>
  <c r="AB21" i="1"/>
  <c r="Z21" i="1"/>
  <c r="J21" i="1"/>
  <c r="AJ21" i="1" s="1"/>
  <c r="I21" i="1"/>
  <c r="H21" i="1"/>
  <c r="BJ20" i="1"/>
  <c r="BF20" i="1"/>
  <c r="BD20" i="1"/>
  <c r="AP20" i="1"/>
  <c r="AO20" i="1"/>
  <c r="AL20" i="1"/>
  <c r="AK20" i="1"/>
  <c r="AH20" i="1"/>
  <c r="AG20" i="1"/>
  <c r="AF20" i="1"/>
  <c r="AC20" i="1"/>
  <c r="AB20" i="1"/>
  <c r="Z20" i="1"/>
  <c r="J20" i="1"/>
  <c r="AJ20" i="1" s="1"/>
  <c r="I20" i="1"/>
  <c r="H20" i="1"/>
  <c r="BJ19" i="1"/>
  <c r="BF19" i="1"/>
  <c r="BD19" i="1"/>
  <c r="AP19" i="1"/>
  <c r="AO19" i="1"/>
  <c r="AL19" i="1"/>
  <c r="AK19" i="1"/>
  <c r="AH19" i="1"/>
  <c r="AG19" i="1"/>
  <c r="AF19" i="1"/>
  <c r="AC19" i="1"/>
  <c r="AB19" i="1"/>
  <c r="Z19" i="1"/>
  <c r="J19" i="1"/>
  <c r="AJ19" i="1" s="1"/>
  <c r="I19" i="1"/>
  <c r="H19" i="1"/>
  <c r="BJ18" i="1"/>
  <c r="BF18" i="1"/>
  <c r="BD18" i="1"/>
  <c r="AP18" i="1"/>
  <c r="AO18" i="1"/>
  <c r="AL18" i="1"/>
  <c r="AK18" i="1"/>
  <c r="AH18" i="1"/>
  <c r="AG18" i="1"/>
  <c r="AF18" i="1"/>
  <c r="AC18" i="1"/>
  <c r="AB18" i="1"/>
  <c r="Z18" i="1"/>
  <c r="J18" i="1"/>
  <c r="AJ18" i="1" s="1"/>
  <c r="I18" i="1"/>
  <c r="H18" i="1"/>
  <c r="BJ17" i="1"/>
  <c r="BF17" i="1"/>
  <c r="BD17" i="1"/>
  <c r="AP17" i="1"/>
  <c r="AO17" i="1"/>
  <c r="AL17" i="1"/>
  <c r="AK17" i="1"/>
  <c r="AH17" i="1"/>
  <c r="AG17" i="1"/>
  <c r="AF17" i="1"/>
  <c r="AC17" i="1"/>
  <c r="AB17" i="1"/>
  <c r="Z17" i="1"/>
  <c r="J17" i="1"/>
  <c r="AJ17" i="1" s="1"/>
  <c r="I17" i="1"/>
  <c r="H17" i="1"/>
  <c r="BJ16" i="1"/>
  <c r="BF16" i="1"/>
  <c r="BD16" i="1"/>
  <c r="AP16" i="1"/>
  <c r="AO16" i="1"/>
  <c r="AL16" i="1"/>
  <c r="AK16" i="1"/>
  <c r="AH16" i="1"/>
  <c r="AG16" i="1"/>
  <c r="AF16" i="1"/>
  <c r="AC16" i="1"/>
  <c r="AB16" i="1"/>
  <c r="Z16" i="1"/>
  <c r="J16" i="1"/>
  <c r="AJ16" i="1" s="1"/>
  <c r="I16" i="1"/>
  <c r="H16" i="1"/>
  <c r="BJ15" i="1"/>
  <c r="BF15" i="1"/>
  <c r="BD15" i="1"/>
  <c r="AP15" i="1"/>
  <c r="AO15" i="1"/>
  <c r="AL15" i="1"/>
  <c r="AK15" i="1"/>
  <c r="AH15" i="1"/>
  <c r="AG15" i="1"/>
  <c r="AF15" i="1"/>
  <c r="AC15" i="1"/>
  <c r="AB15" i="1"/>
  <c r="Z15" i="1"/>
  <c r="J15" i="1"/>
  <c r="AJ15" i="1" s="1"/>
  <c r="I15" i="1"/>
  <c r="H15" i="1"/>
  <c r="BJ14" i="1"/>
  <c r="BF14" i="1"/>
  <c r="BD14" i="1"/>
  <c r="AP14" i="1"/>
  <c r="AO14" i="1"/>
  <c r="AL14" i="1"/>
  <c r="C29" i="2" s="1"/>
  <c r="F29" i="2" s="1"/>
  <c r="AK14" i="1"/>
  <c r="C28" i="2" s="1"/>
  <c r="F28" i="2" s="1"/>
  <c r="AH14" i="1"/>
  <c r="C20" i="2" s="1"/>
  <c r="AG14" i="1"/>
  <c r="C19" i="2" s="1"/>
  <c r="AF14" i="1"/>
  <c r="C18" i="2" s="1"/>
  <c r="AC14" i="1"/>
  <c r="AB14" i="1"/>
  <c r="Z14" i="1"/>
  <c r="C21" i="2" s="1"/>
  <c r="J14" i="1"/>
  <c r="AJ14" i="1" s="1"/>
  <c r="C27" i="2" s="1"/>
  <c r="I28" i="2" s="1"/>
  <c r="I14" i="1"/>
  <c r="H14" i="1"/>
  <c r="AU13" i="1"/>
  <c r="AT13" i="1"/>
  <c r="AS13" i="1"/>
  <c r="J13" i="1"/>
  <c r="J167" i="1" s="1"/>
  <c r="I13" i="1"/>
  <c r="H13" i="1"/>
  <c r="J12" i="1"/>
  <c r="I12" i="1"/>
  <c r="H12" i="1"/>
  <c r="AU1" i="1"/>
  <c r="AT1" i="1"/>
  <c r="AS1" i="1"/>
  <c r="I29" i="2" l="1"/>
  <c r="BH14" i="1"/>
  <c r="AD14" i="1" s="1"/>
  <c r="AW14" i="1"/>
  <c r="BI14" i="1"/>
  <c r="AE14" i="1" s="1"/>
  <c r="AX14" i="1"/>
  <c r="BH15" i="1"/>
  <c r="AD15" i="1" s="1"/>
  <c r="AW15" i="1"/>
  <c r="BI15" i="1"/>
  <c r="AE15" i="1" s="1"/>
  <c r="AX15" i="1"/>
  <c r="BH16" i="1"/>
  <c r="AD16" i="1" s="1"/>
  <c r="AW16" i="1"/>
  <c r="BI16" i="1"/>
  <c r="AE16" i="1" s="1"/>
  <c r="AX16" i="1"/>
  <c r="BH17" i="1"/>
  <c r="AD17" i="1" s="1"/>
  <c r="AW17" i="1"/>
  <c r="BI17" i="1"/>
  <c r="AE17" i="1" s="1"/>
  <c r="AX17" i="1"/>
  <c r="BH18" i="1"/>
  <c r="AD18" i="1" s="1"/>
  <c r="AW18" i="1"/>
  <c r="BI18" i="1"/>
  <c r="AE18" i="1" s="1"/>
  <c r="AX18" i="1"/>
  <c r="BH19" i="1"/>
  <c r="AD19" i="1" s="1"/>
  <c r="AW19" i="1"/>
  <c r="BI19" i="1"/>
  <c r="AE19" i="1" s="1"/>
  <c r="AX19" i="1"/>
  <c r="BH20" i="1"/>
  <c r="AD20" i="1" s="1"/>
  <c r="AW20" i="1"/>
  <c r="BI20" i="1"/>
  <c r="AE20" i="1" s="1"/>
  <c r="AX20" i="1"/>
  <c r="BH21" i="1"/>
  <c r="AD21" i="1" s="1"/>
  <c r="AW21" i="1"/>
  <c r="BI21" i="1"/>
  <c r="AE21" i="1" s="1"/>
  <c r="AX21" i="1"/>
  <c r="BH22" i="1"/>
  <c r="AD22" i="1" s="1"/>
  <c r="AW22" i="1"/>
  <c r="BI22" i="1"/>
  <c r="AE22" i="1" s="1"/>
  <c r="AX22" i="1"/>
  <c r="BH23" i="1"/>
  <c r="AD23" i="1" s="1"/>
  <c r="AW23" i="1"/>
  <c r="BI23" i="1"/>
  <c r="AE23" i="1" s="1"/>
  <c r="AX23" i="1"/>
  <c r="BH24" i="1"/>
  <c r="AD24" i="1" s="1"/>
  <c r="AW24" i="1"/>
  <c r="BI24" i="1"/>
  <c r="AE24" i="1" s="1"/>
  <c r="AX24" i="1"/>
  <c r="BH25" i="1"/>
  <c r="AD25" i="1" s="1"/>
  <c r="AW25" i="1"/>
  <c r="BI25" i="1"/>
  <c r="AE25" i="1" s="1"/>
  <c r="AX25" i="1"/>
  <c r="BH26" i="1"/>
  <c r="AD26" i="1" s="1"/>
  <c r="AW26" i="1"/>
  <c r="BI26" i="1"/>
  <c r="AE26" i="1" s="1"/>
  <c r="AX26" i="1"/>
  <c r="BH27" i="1"/>
  <c r="AD27" i="1" s="1"/>
  <c r="AW27" i="1"/>
  <c r="BI27" i="1"/>
  <c r="AE27" i="1" s="1"/>
  <c r="AX27" i="1"/>
  <c r="BH28" i="1"/>
  <c r="AD28" i="1" s="1"/>
  <c r="AW28" i="1"/>
  <c r="BI28" i="1"/>
  <c r="AE28" i="1" s="1"/>
  <c r="AX28" i="1"/>
  <c r="BH29" i="1"/>
  <c r="AW29" i="1"/>
  <c r="BI29" i="1"/>
  <c r="AX29" i="1"/>
  <c r="BH30" i="1"/>
  <c r="AW30" i="1"/>
  <c r="BI30" i="1"/>
  <c r="AX30" i="1"/>
  <c r="BH32" i="1"/>
  <c r="AD32" i="1" s="1"/>
  <c r="AW32" i="1"/>
  <c r="BI32" i="1"/>
  <c r="AE32" i="1" s="1"/>
  <c r="AX32" i="1"/>
  <c r="BH33" i="1"/>
  <c r="AD33" i="1" s="1"/>
  <c r="AW33" i="1"/>
  <c r="BI33" i="1"/>
  <c r="AE33" i="1" s="1"/>
  <c r="AX33" i="1"/>
  <c r="BH34" i="1"/>
  <c r="AD34" i="1" s="1"/>
  <c r="AW34" i="1"/>
  <c r="BI34" i="1"/>
  <c r="AE34" i="1" s="1"/>
  <c r="AX34" i="1"/>
  <c r="BH35" i="1"/>
  <c r="AD35" i="1" s="1"/>
  <c r="AW35" i="1"/>
  <c r="BI35" i="1"/>
  <c r="AE35" i="1" s="1"/>
  <c r="AX35" i="1"/>
  <c r="BH36" i="1"/>
  <c r="AW36" i="1"/>
  <c r="BI36" i="1"/>
  <c r="AX36" i="1"/>
  <c r="BH37" i="1"/>
  <c r="AW37" i="1"/>
  <c r="BI37" i="1"/>
  <c r="AX37" i="1"/>
  <c r="BH39" i="1"/>
  <c r="AD39" i="1" s="1"/>
  <c r="AW39" i="1"/>
  <c r="BI39" i="1"/>
  <c r="AE39" i="1" s="1"/>
  <c r="AX39" i="1"/>
  <c r="BH40" i="1"/>
  <c r="AD40" i="1" s="1"/>
  <c r="AW40" i="1"/>
  <c r="BI40" i="1"/>
  <c r="AE40" i="1" s="1"/>
  <c r="AX40" i="1"/>
  <c r="BH41" i="1"/>
  <c r="AD41" i="1" s="1"/>
  <c r="AW41" i="1"/>
  <c r="BI41" i="1"/>
  <c r="AE41" i="1" s="1"/>
  <c r="AX41" i="1"/>
  <c r="BH42" i="1"/>
  <c r="AD42" i="1" s="1"/>
  <c r="AW42" i="1"/>
  <c r="BI42" i="1"/>
  <c r="AE42" i="1" s="1"/>
  <c r="AX42" i="1"/>
  <c r="BH43" i="1"/>
  <c r="AD43" i="1" s="1"/>
  <c r="AW43" i="1"/>
  <c r="BI43" i="1"/>
  <c r="AE43" i="1" s="1"/>
  <c r="AX43" i="1"/>
  <c r="BH44" i="1"/>
  <c r="AD44" i="1" s="1"/>
  <c r="AW44" i="1"/>
  <c r="BI44" i="1"/>
  <c r="AE44" i="1" s="1"/>
  <c r="AX44" i="1"/>
  <c r="BH45" i="1"/>
  <c r="AD45" i="1" s="1"/>
  <c r="AW45" i="1"/>
  <c r="BI45" i="1"/>
  <c r="AE45" i="1" s="1"/>
  <c r="AX45" i="1"/>
  <c r="BH46" i="1"/>
  <c r="AD46" i="1" s="1"/>
  <c r="AW46" i="1"/>
  <c r="BI46" i="1"/>
  <c r="AE46" i="1" s="1"/>
  <c r="AX46" i="1"/>
  <c r="BH47" i="1"/>
  <c r="AD47" i="1" s="1"/>
  <c r="AW47" i="1"/>
  <c r="BI47" i="1"/>
  <c r="AE47" i="1" s="1"/>
  <c r="AX47" i="1"/>
  <c r="BH48" i="1"/>
  <c r="AD48" i="1" s="1"/>
  <c r="AW48" i="1"/>
  <c r="BI48" i="1"/>
  <c r="AE48" i="1" s="1"/>
  <c r="AX48" i="1"/>
  <c r="BH49" i="1"/>
  <c r="AD49" i="1" s="1"/>
  <c r="AW49" i="1"/>
  <c r="BI49" i="1"/>
  <c r="AE49" i="1" s="1"/>
  <c r="AX49" i="1"/>
  <c r="BH50" i="1"/>
  <c r="AD50" i="1" s="1"/>
  <c r="AW50" i="1"/>
  <c r="BI50" i="1"/>
  <c r="AE50" i="1" s="1"/>
  <c r="AX50" i="1"/>
  <c r="BH51" i="1"/>
  <c r="AD51" i="1" s="1"/>
  <c r="AW51" i="1"/>
  <c r="BI51" i="1"/>
  <c r="AE51" i="1" s="1"/>
  <c r="AX51" i="1"/>
  <c r="BH52" i="1"/>
  <c r="AD52" i="1" s="1"/>
  <c r="AW52" i="1"/>
  <c r="BI52" i="1"/>
  <c r="AE52" i="1" s="1"/>
  <c r="AX52" i="1"/>
  <c r="BH53" i="1"/>
  <c r="AD53" i="1" s="1"/>
  <c r="AW53" i="1"/>
  <c r="BI53" i="1"/>
  <c r="AE53" i="1" s="1"/>
  <c r="AX53" i="1"/>
  <c r="BH54" i="1"/>
  <c r="AD54" i="1" s="1"/>
  <c r="AW54" i="1"/>
  <c r="BI54" i="1"/>
  <c r="AE54" i="1" s="1"/>
  <c r="AX54" i="1"/>
  <c r="BH55" i="1"/>
  <c r="AD55" i="1" s="1"/>
  <c r="AW55" i="1"/>
  <c r="BI55" i="1"/>
  <c r="AE55" i="1" s="1"/>
  <c r="AX55" i="1"/>
  <c r="BH56" i="1"/>
  <c r="AD56" i="1" s="1"/>
  <c r="AW56" i="1"/>
  <c r="BI56" i="1"/>
  <c r="AE56" i="1" s="1"/>
  <c r="AX56" i="1"/>
  <c r="BH57" i="1"/>
  <c r="AD57" i="1" s="1"/>
  <c r="AW57" i="1"/>
  <c r="BI57" i="1"/>
  <c r="AE57" i="1" s="1"/>
  <c r="AX57" i="1"/>
  <c r="BH58" i="1"/>
  <c r="AD58" i="1" s="1"/>
  <c r="AW58" i="1"/>
  <c r="BI58" i="1"/>
  <c r="AE58" i="1" s="1"/>
  <c r="AX58" i="1"/>
  <c r="BH59" i="1"/>
  <c r="AW59" i="1"/>
  <c r="BI59" i="1"/>
  <c r="AX59" i="1"/>
  <c r="BH60" i="1"/>
  <c r="AW60" i="1"/>
  <c r="BI60" i="1"/>
  <c r="AX60" i="1"/>
  <c r="BH61" i="1"/>
  <c r="AD61" i="1" s="1"/>
  <c r="AW61" i="1"/>
  <c r="BI61" i="1"/>
  <c r="AE61" i="1" s="1"/>
  <c r="AX61" i="1"/>
  <c r="BH62" i="1"/>
  <c r="AD62" i="1" s="1"/>
  <c r="AW62" i="1"/>
  <c r="BI62" i="1"/>
  <c r="AE62" i="1" s="1"/>
  <c r="AX62" i="1"/>
  <c r="BH63" i="1"/>
  <c r="AD63" i="1" s="1"/>
  <c r="AW63" i="1"/>
  <c r="BI63" i="1"/>
  <c r="AE63" i="1" s="1"/>
  <c r="AX63" i="1"/>
  <c r="BH64" i="1"/>
  <c r="AD64" i="1" s="1"/>
  <c r="AW64" i="1"/>
  <c r="BI64" i="1"/>
  <c r="AE64" i="1" s="1"/>
  <c r="AX64" i="1"/>
  <c r="BH66" i="1"/>
  <c r="AD66" i="1" s="1"/>
  <c r="AW66" i="1"/>
  <c r="BI66" i="1"/>
  <c r="AE66" i="1" s="1"/>
  <c r="AX66" i="1"/>
  <c r="BH68" i="1"/>
  <c r="AD68" i="1" s="1"/>
  <c r="AW68" i="1"/>
  <c r="BI68" i="1"/>
  <c r="AE68" i="1" s="1"/>
  <c r="AX68" i="1"/>
  <c r="BH69" i="1"/>
  <c r="AD69" i="1" s="1"/>
  <c r="AW69" i="1"/>
  <c r="BI69" i="1"/>
  <c r="AE69" i="1" s="1"/>
  <c r="AX69" i="1"/>
  <c r="BH70" i="1"/>
  <c r="AD70" i="1" s="1"/>
  <c r="AW70" i="1"/>
  <c r="BI70" i="1"/>
  <c r="AE70" i="1" s="1"/>
  <c r="AX70" i="1"/>
  <c r="BH71" i="1"/>
  <c r="AD71" i="1" s="1"/>
  <c r="AW71" i="1"/>
  <c r="BI71" i="1"/>
  <c r="AE71" i="1" s="1"/>
  <c r="AX71" i="1"/>
  <c r="BH73" i="1"/>
  <c r="AD73" i="1" s="1"/>
  <c r="AW73" i="1"/>
  <c r="BI73" i="1"/>
  <c r="AE73" i="1" s="1"/>
  <c r="AX73" i="1"/>
  <c r="BH74" i="1"/>
  <c r="AD74" i="1" s="1"/>
  <c r="AW74" i="1"/>
  <c r="BI74" i="1"/>
  <c r="AE74" i="1" s="1"/>
  <c r="AX74" i="1"/>
  <c r="BH75" i="1"/>
  <c r="AD75" i="1" s="1"/>
  <c r="AW75" i="1"/>
  <c r="BI75" i="1"/>
  <c r="AE75" i="1" s="1"/>
  <c r="AX75" i="1"/>
  <c r="BH76" i="1"/>
  <c r="AD76" i="1" s="1"/>
  <c r="AW76" i="1"/>
  <c r="BI76" i="1"/>
  <c r="AE76" i="1" s="1"/>
  <c r="AX76" i="1"/>
  <c r="BH77" i="1"/>
  <c r="AD77" i="1" s="1"/>
  <c r="AW77" i="1"/>
  <c r="BI77" i="1"/>
  <c r="AE77" i="1" s="1"/>
  <c r="AX77" i="1"/>
  <c r="BH78" i="1"/>
  <c r="AD78" i="1" s="1"/>
  <c r="AW78" i="1"/>
  <c r="BI78" i="1"/>
  <c r="AE78" i="1" s="1"/>
  <c r="AX78" i="1"/>
  <c r="BH79" i="1"/>
  <c r="AD79" i="1" s="1"/>
  <c r="AW79" i="1"/>
  <c r="BI79" i="1"/>
  <c r="AE79" i="1" s="1"/>
  <c r="AX79" i="1"/>
  <c r="BH80" i="1"/>
  <c r="AD80" i="1" s="1"/>
  <c r="AW80" i="1"/>
  <c r="BI80" i="1"/>
  <c r="AE80" i="1" s="1"/>
  <c r="AX80" i="1"/>
  <c r="BH81" i="1"/>
  <c r="AD81" i="1" s="1"/>
  <c r="AW81" i="1"/>
  <c r="BI81" i="1"/>
  <c r="AE81" i="1" s="1"/>
  <c r="AX81" i="1"/>
  <c r="BH84" i="1"/>
  <c r="AW84" i="1"/>
  <c r="BI84" i="1"/>
  <c r="AX84" i="1"/>
  <c r="BH85" i="1"/>
  <c r="AW85" i="1"/>
  <c r="BI85" i="1"/>
  <c r="AX85" i="1"/>
  <c r="BH86" i="1"/>
  <c r="AW86" i="1"/>
  <c r="BI86" i="1"/>
  <c r="AX86" i="1"/>
  <c r="BH87" i="1"/>
  <c r="AW87" i="1"/>
  <c r="BI87" i="1"/>
  <c r="AX87" i="1"/>
  <c r="BH88" i="1"/>
  <c r="AW88" i="1"/>
  <c r="BI88" i="1"/>
  <c r="AX88" i="1"/>
  <c r="BH91" i="1"/>
  <c r="AD91" i="1" s="1"/>
  <c r="AW91" i="1"/>
  <c r="BI91" i="1"/>
  <c r="AE91" i="1" s="1"/>
  <c r="AX91" i="1"/>
  <c r="BH93" i="1"/>
  <c r="AD93" i="1" s="1"/>
  <c r="AW93" i="1"/>
  <c r="BI93" i="1"/>
  <c r="AE93" i="1" s="1"/>
  <c r="AX93" i="1"/>
  <c r="BH94" i="1"/>
  <c r="AD94" i="1" s="1"/>
  <c r="AW94" i="1"/>
  <c r="BI94" i="1"/>
  <c r="AE94" i="1" s="1"/>
  <c r="AX94" i="1"/>
  <c r="BH95" i="1"/>
  <c r="AD95" i="1" s="1"/>
  <c r="AW95" i="1"/>
  <c r="BI95" i="1"/>
  <c r="AE95" i="1" s="1"/>
  <c r="AX95" i="1"/>
  <c r="BH96" i="1"/>
  <c r="AW96" i="1"/>
  <c r="BI96" i="1"/>
  <c r="AX96" i="1"/>
  <c r="BH97" i="1"/>
  <c r="AW97" i="1"/>
  <c r="BI97" i="1"/>
  <c r="AX97" i="1"/>
  <c r="BH99" i="1"/>
  <c r="AD99" i="1" s="1"/>
  <c r="AW99" i="1"/>
  <c r="BI99" i="1"/>
  <c r="AE99" i="1" s="1"/>
  <c r="AX99" i="1"/>
  <c r="BH100" i="1"/>
  <c r="AD100" i="1" s="1"/>
  <c r="AW100" i="1"/>
  <c r="BI100" i="1"/>
  <c r="AE100" i="1" s="1"/>
  <c r="AX100" i="1"/>
  <c r="BH101" i="1"/>
  <c r="AD101" i="1" s="1"/>
  <c r="AW101" i="1"/>
  <c r="BI101" i="1"/>
  <c r="AE101" i="1" s="1"/>
  <c r="AX101" i="1"/>
  <c r="BH102" i="1"/>
  <c r="AW102" i="1"/>
  <c r="BI102" i="1"/>
  <c r="AX102" i="1"/>
  <c r="BH103" i="1"/>
  <c r="AW103" i="1"/>
  <c r="BI103" i="1"/>
  <c r="AX103" i="1"/>
  <c r="BH105" i="1"/>
  <c r="AB105" i="1" s="1"/>
  <c r="AW105" i="1"/>
  <c r="BI105" i="1"/>
  <c r="AC105" i="1" s="1"/>
  <c r="AX105" i="1"/>
  <c r="BH107" i="1"/>
  <c r="AB107" i="1" s="1"/>
  <c r="AW107" i="1"/>
  <c r="BI107" i="1"/>
  <c r="AC107" i="1" s="1"/>
  <c r="AX107" i="1"/>
  <c r="BH108" i="1"/>
  <c r="AB108" i="1" s="1"/>
  <c r="AW108" i="1"/>
  <c r="BI108" i="1"/>
  <c r="AC108" i="1" s="1"/>
  <c r="AX108" i="1"/>
  <c r="BH109" i="1"/>
  <c r="AB109" i="1" s="1"/>
  <c r="AW109" i="1"/>
  <c r="BI109" i="1"/>
  <c r="AC109" i="1" s="1"/>
  <c r="AX109" i="1"/>
  <c r="BH110" i="1"/>
  <c r="AB110" i="1" s="1"/>
  <c r="AW110" i="1"/>
  <c r="BI110" i="1"/>
  <c r="AC110" i="1" s="1"/>
  <c r="AX110" i="1"/>
  <c r="BH111" i="1"/>
  <c r="AB111" i="1" s="1"/>
  <c r="AW111" i="1"/>
  <c r="BI111" i="1"/>
  <c r="AC111" i="1" s="1"/>
  <c r="AX111" i="1"/>
  <c r="BH112" i="1"/>
  <c r="AB112" i="1" s="1"/>
  <c r="AW112" i="1"/>
  <c r="BI112" i="1"/>
  <c r="AC112" i="1" s="1"/>
  <c r="AX112" i="1"/>
  <c r="BH114" i="1"/>
  <c r="AW114" i="1"/>
  <c r="BI114" i="1"/>
  <c r="AX114" i="1"/>
  <c r="BH115" i="1"/>
  <c r="AW115" i="1"/>
  <c r="BI115" i="1"/>
  <c r="AX115" i="1"/>
  <c r="BH116" i="1"/>
  <c r="AW116" i="1"/>
  <c r="BI116" i="1"/>
  <c r="AX116" i="1"/>
  <c r="BH117" i="1"/>
  <c r="AW117" i="1"/>
  <c r="BI117" i="1"/>
  <c r="AX117" i="1"/>
  <c r="BH118" i="1"/>
  <c r="AW118" i="1"/>
  <c r="BI118" i="1"/>
  <c r="AX118" i="1"/>
  <c r="BH121" i="1"/>
  <c r="AB121" i="1" s="1"/>
  <c r="AW121" i="1"/>
  <c r="BI121" i="1"/>
  <c r="AC121" i="1" s="1"/>
  <c r="AX121" i="1"/>
  <c r="BH123" i="1"/>
  <c r="AB123" i="1" s="1"/>
  <c r="AW123" i="1"/>
  <c r="BI123" i="1"/>
  <c r="AC123" i="1" s="1"/>
  <c r="AX123" i="1"/>
  <c r="BH124" i="1"/>
  <c r="AB124" i="1" s="1"/>
  <c r="AW124" i="1"/>
  <c r="BI124" i="1"/>
  <c r="AC124" i="1" s="1"/>
  <c r="AX124" i="1"/>
  <c r="BH126" i="1"/>
  <c r="AB126" i="1" s="1"/>
  <c r="AW126" i="1"/>
  <c r="BI126" i="1"/>
  <c r="AC126" i="1" s="1"/>
  <c r="AX126" i="1"/>
  <c r="BH127" i="1"/>
  <c r="AB127" i="1" s="1"/>
  <c r="AW127" i="1"/>
  <c r="BI127" i="1"/>
  <c r="AC127" i="1" s="1"/>
  <c r="AX127" i="1"/>
  <c r="BH129" i="1"/>
  <c r="AB129" i="1" s="1"/>
  <c r="AW129" i="1"/>
  <c r="BI129" i="1"/>
  <c r="AC129" i="1" s="1"/>
  <c r="AX129" i="1"/>
  <c r="BH131" i="1"/>
  <c r="AB131" i="1" s="1"/>
  <c r="AW131" i="1"/>
  <c r="BI131" i="1"/>
  <c r="AC131" i="1" s="1"/>
  <c r="AX131" i="1"/>
  <c r="BH133" i="1"/>
  <c r="AB133" i="1" s="1"/>
  <c r="AW133" i="1"/>
  <c r="BI133" i="1"/>
  <c r="AC133" i="1" s="1"/>
  <c r="AX133" i="1"/>
  <c r="BH134" i="1"/>
  <c r="AB134" i="1" s="1"/>
  <c r="AW134" i="1"/>
  <c r="BI134" i="1"/>
  <c r="AC134" i="1" s="1"/>
  <c r="AX134" i="1"/>
  <c r="BH135" i="1"/>
  <c r="AB135" i="1" s="1"/>
  <c r="AW135" i="1"/>
  <c r="BI135" i="1"/>
  <c r="AC135" i="1" s="1"/>
  <c r="AX135" i="1"/>
  <c r="BH137" i="1"/>
  <c r="AD137" i="1" s="1"/>
  <c r="AW137" i="1"/>
  <c r="BI137" i="1"/>
  <c r="AE137" i="1" s="1"/>
  <c r="AX137" i="1"/>
  <c r="BH138" i="1"/>
  <c r="AD138" i="1" s="1"/>
  <c r="AW138" i="1"/>
  <c r="BI138" i="1"/>
  <c r="AE138" i="1" s="1"/>
  <c r="AX138" i="1"/>
  <c r="BH139" i="1"/>
  <c r="AD139" i="1" s="1"/>
  <c r="AW139" i="1"/>
  <c r="BI139" i="1"/>
  <c r="AE139" i="1" s="1"/>
  <c r="AX139" i="1"/>
  <c r="BH141" i="1"/>
  <c r="AD141" i="1" s="1"/>
  <c r="AW141" i="1"/>
  <c r="BI141" i="1"/>
  <c r="AE141" i="1" s="1"/>
  <c r="AX141" i="1"/>
  <c r="BH143" i="1"/>
  <c r="AD143" i="1" s="1"/>
  <c r="AW143" i="1"/>
  <c r="BI143" i="1"/>
  <c r="AE143" i="1" s="1"/>
  <c r="AX143" i="1"/>
  <c r="BH145" i="1"/>
  <c r="AD145" i="1" s="1"/>
  <c r="AW145" i="1"/>
  <c r="BI145" i="1"/>
  <c r="AE145" i="1" s="1"/>
  <c r="AX145" i="1"/>
  <c r="BH147" i="1"/>
  <c r="AD147" i="1" s="1"/>
  <c r="AW147" i="1"/>
  <c r="BI147" i="1"/>
  <c r="AE147" i="1" s="1"/>
  <c r="AX147" i="1"/>
  <c r="BH148" i="1"/>
  <c r="AD148" i="1" s="1"/>
  <c r="AW148" i="1"/>
  <c r="BI148" i="1"/>
  <c r="AE148" i="1" s="1"/>
  <c r="AX148" i="1"/>
  <c r="BH150" i="1"/>
  <c r="AB150" i="1" s="1"/>
  <c r="AW150" i="1"/>
  <c r="BI150" i="1"/>
  <c r="AC150" i="1" s="1"/>
  <c r="AX150" i="1"/>
  <c r="BH151" i="1"/>
  <c r="AB151" i="1" s="1"/>
  <c r="AW151" i="1"/>
  <c r="BI151" i="1"/>
  <c r="AC151" i="1" s="1"/>
  <c r="AX151" i="1"/>
  <c r="BH153" i="1"/>
  <c r="AB153" i="1" s="1"/>
  <c r="AW153" i="1"/>
  <c r="BI153" i="1"/>
  <c r="AC153" i="1" s="1"/>
  <c r="AX153" i="1"/>
  <c r="BH155" i="1"/>
  <c r="AB155" i="1" s="1"/>
  <c r="AW155" i="1"/>
  <c r="BI155" i="1"/>
  <c r="AC155" i="1" s="1"/>
  <c r="AX155" i="1"/>
  <c r="BH156" i="1"/>
  <c r="AB156" i="1" s="1"/>
  <c r="AW156" i="1"/>
  <c r="BI156" i="1"/>
  <c r="AC156" i="1" s="1"/>
  <c r="AX156" i="1"/>
  <c r="BH157" i="1"/>
  <c r="AB157" i="1" s="1"/>
  <c r="AW157" i="1"/>
  <c r="BI157" i="1"/>
  <c r="AC157" i="1" s="1"/>
  <c r="AX157" i="1"/>
  <c r="BH159" i="1"/>
  <c r="AW159" i="1"/>
  <c r="BI159" i="1"/>
  <c r="AX159" i="1"/>
  <c r="BH160" i="1"/>
  <c r="AW160" i="1"/>
  <c r="BI160" i="1"/>
  <c r="AX160" i="1"/>
  <c r="BH161" i="1"/>
  <c r="AW161" i="1"/>
  <c r="BI161" i="1"/>
  <c r="AX161" i="1"/>
  <c r="BH162" i="1"/>
  <c r="AW162" i="1"/>
  <c r="BI162" i="1"/>
  <c r="AX162" i="1"/>
  <c r="BH163" i="1"/>
  <c r="AW163" i="1"/>
  <c r="BI163" i="1"/>
  <c r="AX163" i="1"/>
  <c r="BH164" i="1"/>
  <c r="AW164" i="1"/>
  <c r="BI164" i="1"/>
  <c r="AX164" i="1"/>
  <c r="BH166" i="1"/>
  <c r="AW166" i="1"/>
  <c r="BI166" i="1"/>
  <c r="AX166" i="1"/>
  <c r="BC166" i="1" l="1"/>
  <c r="AV166" i="1"/>
  <c r="BC164" i="1"/>
  <c r="AV164" i="1"/>
  <c r="BC163" i="1"/>
  <c r="AV163" i="1"/>
  <c r="BC162" i="1"/>
  <c r="AV162" i="1"/>
  <c r="BC161" i="1"/>
  <c r="AV161" i="1"/>
  <c r="BC160" i="1"/>
  <c r="AV160" i="1"/>
  <c r="BC159" i="1"/>
  <c r="AV159" i="1"/>
  <c r="BC157" i="1"/>
  <c r="AV157" i="1"/>
  <c r="BC156" i="1"/>
  <c r="AV156" i="1"/>
  <c r="BC155" i="1"/>
  <c r="AV155" i="1"/>
  <c r="BC153" i="1"/>
  <c r="AV153" i="1"/>
  <c r="BC151" i="1"/>
  <c r="AV151" i="1"/>
  <c r="BC150" i="1"/>
  <c r="AV150" i="1"/>
  <c r="BC148" i="1"/>
  <c r="AV148" i="1"/>
  <c r="BC147" i="1"/>
  <c r="AV147" i="1"/>
  <c r="BC145" i="1"/>
  <c r="AV145" i="1"/>
  <c r="BC143" i="1"/>
  <c r="AV143" i="1"/>
  <c r="BC141" i="1"/>
  <c r="AV141" i="1"/>
  <c r="BC139" i="1"/>
  <c r="AV139" i="1"/>
  <c r="BC138" i="1"/>
  <c r="AV138" i="1"/>
  <c r="BC137" i="1"/>
  <c r="AV137" i="1"/>
  <c r="BC135" i="1"/>
  <c r="AV135" i="1"/>
  <c r="BC134" i="1"/>
  <c r="AV134" i="1"/>
  <c r="BC133" i="1"/>
  <c r="AV133" i="1"/>
  <c r="BC131" i="1"/>
  <c r="AV131" i="1"/>
  <c r="BC129" i="1"/>
  <c r="AV129" i="1"/>
  <c r="BC127" i="1"/>
  <c r="AV127" i="1"/>
  <c r="BC126" i="1"/>
  <c r="AV126" i="1"/>
  <c r="BC124" i="1"/>
  <c r="AV124" i="1"/>
  <c r="BC123" i="1"/>
  <c r="AV123" i="1"/>
  <c r="BC121" i="1"/>
  <c r="AV121" i="1"/>
  <c r="BC118" i="1"/>
  <c r="AV118" i="1"/>
  <c r="BC117" i="1"/>
  <c r="AV117" i="1"/>
  <c r="BC116" i="1"/>
  <c r="AV116" i="1"/>
  <c r="BC115" i="1"/>
  <c r="AV115" i="1"/>
  <c r="BC114" i="1"/>
  <c r="AV114" i="1"/>
  <c r="BC112" i="1"/>
  <c r="AV112" i="1"/>
  <c r="BC111" i="1"/>
  <c r="AV111" i="1"/>
  <c r="BC110" i="1"/>
  <c r="AV110" i="1"/>
  <c r="BC109" i="1"/>
  <c r="AV109" i="1"/>
  <c r="BC108" i="1"/>
  <c r="AV108" i="1"/>
  <c r="BC107" i="1"/>
  <c r="AV107" i="1"/>
  <c r="C15" i="2"/>
  <c r="BC105" i="1"/>
  <c r="AV105" i="1"/>
  <c r="C14" i="2"/>
  <c r="BC103" i="1"/>
  <c r="AV103" i="1"/>
  <c r="BC102" i="1"/>
  <c r="AV102" i="1"/>
  <c r="BC101" i="1"/>
  <c r="AV101" i="1"/>
  <c r="BC100" i="1"/>
  <c r="AV100" i="1"/>
  <c r="BC99" i="1"/>
  <c r="AV99" i="1"/>
  <c r="BC97" i="1"/>
  <c r="AV97" i="1"/>
  <c r="BC96" i="1"/>
  <c r="AV96" i="1"/>
  <c r="BC95" i="1"/>
  <c r="AV95" i="1"/>
  <c r="BC94" i="1"/>
  <c r="AV94" i="1"/>
  <c r="BC93" i="1"/>
  <c r="AV93" i="1"/>
  <c r="BC91" i="1"/>
  <c r="AV91" i="1"/>
  <c r="BC88" i="1"/>
  <c r="AV88" i="1"/>
  <c r="BC87" i="1"/>
  <c r="AV87" i="1"/>
  <c r="BC86" i="1"/>
  <c r="AV86" i="1"/>
  <c r="BC85" i="1"/>
  <c r="AV85" i="1"/>
  <c r="BC84" i="1"/>
  <c r="AV84" i="1"/>
  <c r="BC81" i="1"/>
  <c r="AV81" i="1"/>
  <c r="BC80" i="1"/>
  <c r="AV80" i="1"/>
  <c r="BC79" i="1"/>
  <c r="AV79" i="1"/>
  <c r="BC78" i="1"/>
  <c r="AV78" i="1"/>
  <c r="BC77" i="1"/>
  <c r="AV77" i="1"/>
  <c r="BC76" i="1"/>
  <c r="AV76" i="1"/>
  <c r="BC75" i="1"/>
  <c r="AV75" i="1"/>
  <c r="BC74" i="1"/>
  <c r="AV74" i="1"/>
  <c r="BC73" i="1"/>
  <c r="AV73" i="1"/>
  <c r="BC71" i="1"/>
  <c r="AV71" i="1"/>
  <c r="BC70" i="1"/>
  <c r="AV70" i="1"/>
  <c r="BC69" i="1"/>
  <c r="AV69" i="1"/>
  <c r="BC68" i="1"/>
  <c r="AV68" i="1"/>
  <c r="BC66" i="1"/>
  <c r="AV66" i="1"/>
  <c r="BC64" i="1"/>
  <c r="AV64" i="1"/>
  <c r="BC63" i="1"/>
  <c r="AV63" i="1"/>
  <c r="BC62" i="1"/>
  <c r="AV62" i="1"/>
  <c r="BC61" i="1"/>
  <c r="AV61" i="1"/>
  <c r="BC60" i="1"/>
  <c r="AV60" i="1"/>
  <c r="BC59" i="1"/>
  <c r="AV59" i="1"/>
  <c r="BC58" i="1"/>
  <c r="AV58" i="1"/>
  <c r="BC57" i="1"/>
  <c r="AV57" i="1"/>
  <c r="BC56" i="1"/>
  <c r="AV56" i="1"/>
  <c r="BC55" i="1"/>
  <c r="AV55" i="1"/>
  <c r="BC54" i="1"/>
  <c r="AV54" i="1"/>
  <c r="BC53" i="1"/>
  <c r="AV53" i="1"/>
  <c r="BC52" i="1"/>
  <c r="AV52" i="1"/>
  <c r="BC51" i="1"/>
  <c r="AV51" i="1"/>
  <c r="BC50" i="1"/>
  <c r="AV50" i="1"/>
  <c r="BC49" i="1"/>
  <c r="AV49" i="1"/>
  <c r="BC48" i="1"/>
  <c r="AV48" i="1"/>
  <c r="BC47" i="1"/>
  <c r="AV47" i="1"/>
  <c r="BC46" i="1"/>
  <c r="AV46" i="1"/>
  <c r="BC45" i="1"/>
  <c r="AV45" i="1"/>
  <c r="BC44" i="1"/>
  <c r="AV44" i="1"/>
  <c r="BC43" i="1"/>
  <c r="AV43" i="1"/>
  <c r="BC42" i="1"/>
  <c r="AV42" i="1"/>
  <c r="BC41" i="1"/>
  <c r="AV41" i="1"/>
  <c r="BC40" i="1"/>
  <c r="AV40" i="1"/>
  <c r="BC39" i="1"/>
  <c r="AV39" i="1"/>
  <c r="BC37" i="1"/>
  <c r="AV37" i="1"/>
  <c r="BC36" i="1"/>
  <c r="AV36" i="1"/>
  <c r="BC35" i="1"/>
  <c r="AV35" i="1"/>
  <c r="BC34" i="1"/>
  <c r="AV34" i="1"/>
  <c r="BC33" i="1"/>
  <c r="AV33" i="1"/>
  <c r="BC32" i="1"/>
  <c r="AV32" i="1"/>
  <c r="BC30" i="1"/>
  <c r="AV30" i="1"/>
  <c r="BC29" i="1"/>
  <c r="AV29" i="1"/>
  <c r="BC28" i="1"/>
  <c r="AV28" i="1"/>
  <c r="BC27" i="1"/>
  <c r="AV27" i="1"/>
  <c r="BC26" i="1"/>
  <c r="AV26" i="1"/>
  <c r="BC25" i="1"/>
  <c r="AV25" i="1"/>
  <c r="BC24" i="1"/>
  <c r="AV24" i="1"/>
  <c r="BC23" i="1"/>
  <c r="AV23" i="1"/>
  <c r="BC22" i="1"/>
  <c r="AV22" i="1"/>
  <c r="BC21" i="1"/>
  <c r="AV21" i="1"/>
  <c r="BC20" i="1"/>
  <c r="AV20" i="1"/>
  <c r="BC19" i="1"/>
  <c r="AV19" i="1"/>
  <c r="BC18" i="1"/>
  <c r="AV18" i="1"/>
  <c r="BC17" i="1"/>
  <c r="AV17" i="1"/>
  <c r="BC16" i="1"/>
  <c r="AV16" i="1"/>
  <c r="BC15" i="1"/>
  <c r="AV15" i="1"/>
  <c r="C17" i="2"/>
  <c r="BC14" i="1"/>
  <c r="AV14" i="1"/>
  <c r="C16" i="2"/>
  <c r="C22" i="2" l="1"/>
</calcChain>
</file>

<file path=xl/sharedStrings.xml><?xml version="1.0" encoding="utf-8"?>
<sst xmlns="http://schemas.openxmlformats.org/spreadsheetml/2006/main" count="1985" uniqueCount="583">
  <si>
    <t>Slepý stavební rozpočet</t>
  </si>
  <si>
    <t>Název stavby:</t>
  </si>
  <si>
    <t>VÝMĚNA ROZVODU ZTI V HALE RONDO, BRNO</t>
  </si>
  <si>
    <t>Doba výstavby:</t>
  </si>
  <si>
    <t xml:space="preserve"> </t>
  </si>
  <si>
    <t>Objednatel:</t>
  </si>
  <si>
    <t>STAREZ – SPORT, a.s.</t>
  </si>
  <si>
    <t>Druh stavby:</t>
  </si>
  <si>
    <t>DOKUMENTACE PROVEDENÍ STAVBY</t>
  </si>
  <si>
    <t>Začátek výstavby:</t>
  </si>
  <si>
    <t>Projektant:</t>
  </si>
  <si>
    <t>ING. LUKÁŠ DOLEŽAL</t>
  </si>
  <si>
    <t>Lokalita:</t>
  </si>
  <si>
    <t>Křídlovická 911/34, 60300 Brno - Staré Brno, Česko</t>
  </si>
  <si>
    <t>Konec výstavby:</t>
  </si>
  <si>
    <t>Zhotovitel:</t>
  </si>
  <si>
    <t>dle výběrového řízení</t>
  </si>
  <si>
    <t>JKSO:</t>
  </si>
  <si>
    <t>Zpracováno dne:</t>
  </si>
  <si>
    <t>31.05.2025</t>
  </si>
  <si>
    <t>Zpracoval:</t>
  </si>
  <si>
    <t>Ing. Lukáš Doležal</t>
  </si>
  <si>
    <t>Č</t>
  </si>
  <si>
    <t>Kód</t>
  </si>
  <si>
    <t>Zkrácený popis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</si>
  <si>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</si>
  <si>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</si>
  <si>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</si>
  <si>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</si>
  <si>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</si>
  <si>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</si>
  <si>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</si>
  <si>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</si>
  <si>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</si>
  <si>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</si>
  <si>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</si>
  <si>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</si>
  <si>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</si>
  <si>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</si>
  <si>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</si>
  <si>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</si>
  <si>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</si>
  <si>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</si>
  <si>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</si>
  <si>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</si>
  <si>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</si>
  <si>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</si>
  <si>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</si>
  <si>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</si>
  <si>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</si>
  <si>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</si>
  <si>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</si>
  <si>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Technologická část</t>
  </si>
  <si>
    <t>713</t>
  </si>
  <si>
    <t>Izolace tepelné</t>
  </si>
  <si>
    <t>01</t>
  </si>
  <si>
    <t>1</t>
  </si>
  <si>
    <t>713411121R00</t>
  </si>
  <si>
    <t>Montáž tepelné izolace potrubí pásy LSP a drátem, 1 vrstvá</t>
  </si>
  <si>
    <t>m2</t>
  </si>
  <si>
    <t>RTS I / 2025</t>
  </si>
  <si>
    <t>7</t>
  </si>
  <si>
    <t>713_</t>
  </si>
  <si>
    <t>01_71_</t>
  </si>
  <si>
    <t>01_</t>
  </si>
  <si>
    <t>P</t>
  </si>
  <si>
    <t>2</t>
  </si>
  <si>
    <t>722181214RZ2</t>
  </si>
  <si>
    <t>Izolace návleková tl. stěny 20 mm, vnitřní průměr 110 mm, např. MIRELON PRO</t>
  </si>
  <si>
    <t>m</t>
  </si>
  <si>
    <t>3</t>
  </si>
  <si>
    <t>722181214RY5</t>
  </si>
  <si>
    <t>Izolace návleková tl. stěny 20 mm, vnitřní průměr 75 mm, např. MIRELON PRO</t>
  </si>
  <si>
    <t>4</t>
  </si>
  <si>
    <t>722181214RY3</t>
  </si>
  <si>
    <t>Izolace návleková tl. stěny 20 mm, vnitřní průměr 63 mm, např. MIRELON PRO</t>
  </si>
  <si>
    <t>5</t>
  </si>
  <si>
    <t>722181214RW6</t>
  </si>
  <si>
    <t>Izolace návleková tl. stěny 20 mm, vnitřní průměr 50 mm, např. MIRELON PRO</t>
  </si>
  <si>
    <t>6</t>
  </si>
  <si>
    <t>722181214RV9</t>
  </si>
  <si>
    <t>Izolace návleková tl. stěny 20 mm, vnitřní průměr 40 mm, např. MIRELON PRO</t>
  </si>
  <si>
    <t>722181214RU1</t>
  </si>
  <si>
    <t>Izolace návleková tl. stěny 20 mm, vnitřní průměr 32 mm, např. MIRELON PRO</t>
  </si>
  <si>
    <t>8</t>
  </si>
  <si>
    <t>722181214RT7</t>
  </si>
  <si>
    <t>Izolace návleková tl. stěny 20 mm, vnitřní průměr 20 mm, např. MIRELON PRO</t>
  </si>
  <si>
    <t>9</t>
  </si>
  <si>
    <t>631547213</t>
  </si>
  <si>
    <t>Pouzdro potrubní izolační 20/40 mm; kamenná vlna s polepem Al fólií vyztuženou skleněnou mřížkou</t>
  </si>
  <si>
    <t>M</t>
  </si>
  <si>
    <t>10</t>
  </si>
  <si>
    <t>631547214</t>
  </si>
  <si>
    <t>Pouzdro potrubní izolační 25/40 mm; kamenná vlna s polepem Al fólií vyztuženou skleněnou mřížkou</t>
  </si>
  <si>
    <t>11</t>
  </si>
  <si>
    <t>631547215</t>
  </si>
  <si>
    <t>Pouzdro potrubní izolační 32/40 mm; kamenná vlna s polepem Al fólií vyztuženou skleněnou mřížkou</t>
  </si>
  <si>
    <t>12</t>
  </si>
  <si>
    <t>631547216</t>
  </si>
  <si>
    <t>Pouzdro potrubní izolační 40/40 mm; kamenná vlna s polepem Al fólií vyztuženou skleněnou mřížkou</t>
  </si>
  <si>
    <t>13</t>
  </si>
  <si>
    <t>631547218</t>
  </si>
  <si>
    <t>Pouzdro potrubní izolační 50/40 mm; kamenná vlna s polepem Al fólií vyztuženou skleněnou mřížkou</t>
  </si>
  <si>
    <t>14</t>
  </si>
  <si>
    <t>631547322</t>
  </si>
  <si>
    <t>Pouzdro potrubní izolační 75/50 mm; kamenná vlna s polepem Al fólií vyztuženou skleněnou mřížkou</t>
  </si>
  <si>
    <t>15</t>
  </si>
  <si>
    <t>631547324</t>
  </si>
  <si>
    <t>Pouzdro potrubní izolační 110/50 mm; kamenná vlna s polepem Al fólií vyztuženou skleněnou mřížkou</t>
  </si>
  <si>
    <t>16</t>
  </si>
  <si>
    <t>998713101R00</t>
  </si>
  <si>
    <t>Přesun hmot pro izolace tepelné, výšky do 6 m</t>
  </si>
  <si>
    <t>t</t>
  </si>
  <si>
    <t>17</t>
  </si>
  <si>
    <t>998713193R00</t>
  </si>
  <si>
    <t>Příplatek zvětšený přesun, izolace tepelné do 500 m</t>
  </si>
  <si>
    <t>721</t>
  </si>
  <si>
    <t>Vnitřní kanalizace</t>
  </si>
  <si>
    <t>18</t>
  </si>
  <si>
    <t>721176103R00</t>
  </si>
  <si>
    <t>Potrubí HT připojovací, D 50 x 1,8 mm</t>
  </si>
  <si>
    <t>721_</t>
  </si>
  <si>
    <t>01_72_</t>
  </si>
  <si>
    <t>19</t>
  </si>
  <si>
    <t>721194105R00</t>
  </si>
  <si>
    <t>Vyvedení odpadních výpustek, D 50 x 1,8 mm</t>
  </si>
  <si>
    <t>kus</t>
  </si>
  <si>
    <t>20</t>
  </si>
  <si>
    <t>892561111R00</t>
  </si>
  <si>
    <t>Zkouška těsnosti kanalizace DN do 125, vodou</t>
  </si>
  <si>
    <t>21</t>
  </si>
  <si>
    <t>721000000001VD</t>
  </si>
  <si>
    <t>Napojení kalového čerpadla na potrubí ležaté kanalizace</t>
  </si>
  <si>
    <t>soubor</t>
  </si>
  <si>
    <t>22</t>
  </si>
  <si>
    <t>998721101R00</t>
  </si>
  <si>
    <t>Přesun hmot pro vnitřní kanalizaci, výšky do 6 m</t>
  </si>
  <si>
    <t>23</t>
  </si>
  <si>
    <t>998721194R00</t>
  </si>
  <si>
    <t>Příplatek za zvětšený přesun, vnitřní kanalizace do 1 km</t>
  </si>
  <si>
    <t>722</t>
  </si>
  <si>
    <t>Vnitřní vodovod</t>
  </si>
  <si>
    <t>24</t>
  </si>
  <si>
    <t>722178689R00</t>
  </si>
  <si>
    <t>Potrubí vícevrstvé vodov., polyfuzně svařené, D 110 x 12,3 mm, např.EVO PP-RCT</t>
  </si>
  <si>
    <t>722_</t>
  </si>
  <si>
    <t>25</t>
  </si>
  <si>
    <t>722178687R00</t>
  </si>
  <si>
    <t>Potrubí vícevrstvé vodov., polyfuzně svařené, D 75 x 8,4 mm, např.EVO PP-RCT</t>
  </si>
  <si>
    <t>26</t>
  </si>
  <si>
    <t>722178686R00</t>
  </si>
  <si>
    <t>Potrubí vícevrstvé vodov., polyfuzně svařené, D 63 x 8,6 mm, např.EVO PP-RCT</t>
  </si>
  <si>
    <t>27</t>
  </si>
  <si>
    <t>722178685R00</t>
  </si>
  <si>
    <t>Potrubí vícevrstvé vodov., polyfuzně svařené, D 50 x 6,9 mm, např.EVO PP-RCT</t>
  </si>
  <si>
    <t>28</t>
  </si>
  <si>
    <t>722178684R00</t>
  </si>
  <si>
    <t>Potrubí vícevrstvé vodov., polyfuzně svařené, D 40 x 5,5 mm, např.EVO PP-RCT</t>
  </si>
  <si>
    <t>29</t>
  </si>
  <si>
    <t>722178683R00</t>
  </si>
  <si>
    <t>Potrubí vícevrstvé vodov., polyfuzně svařené, D 32 x 4,4 mm, např.EVO PP-RCT</t>
  </si>
  <si>
    <t>30</t>
  </si>
  <si>
    <t>722178681R00</t>
  </si>
  <si>
    <t>Potrubí vícevrstvé vodov., polyfuzně svařené, D 20 x 2,8 mm, např.EVO PP-RCT</t>
  </si>
  <si>
    <t>31</t>
  </si>
  <si>
    <t>722290234R00</t>
  </si>
  <si>
    <t>Proplach a dezinfekce vodovodního potrubí</t>
  </si>
  <si>
    <t>32</t>
  </si>
  <si>
    <t>722178718R00</t>
  </si>
  <si>
    <t>Potrubí vícevrstvé vodov., polyfuzně svařené, D 90 x 10,1 mm, např.Wavin Basalt Plus</t>
  </si>
  <si>
    <t>33</t>
  </si>
  <si>
    <t>722178717R00</t>
  </si>
  <si>
    <t>Potrubí vícevrstvé vodov., polyfuzně svařené, D 75 x 8,4 mm, např.Wavin Basalt Plus</t>
  </si>
  <si>
    <t>34</t>
  </si>
  <si>
    <t>722178715R00</t>
  </si>
  <si>
    <t>Potrubí vícevrstvé vodov., polyfuzně svařené, D 50 x 6,9 mm, např.Wavin Basalt Plus</t>
  </si>
  <si>
    <t>35</t>
  </si>
  <si>
    <t>722178714R00</t>
  </si>
  <si>
    <t>Potrubí vícevrstvé vodov., polyfuzně svařené, D 40 x 5,5 mm, např.Wavin Basalt Plus</t>
  </si>
  <si>
    <t>36</t>
  </si>
  <si>
    <t>722178713R00</t>
  </si>
  <si>
    <t>Potrubí vícevrstvé vodov., polyfuzně svařené, D 32 x 4,4 mm, např.Wavin Basalt Plus</t>
  </si>
  <si>
    <t>37</t>
  </si>
  <si>
    <t>722178712R00</t>
  </si>
  <si>
    <t>Potrubí vícevrstvé vodov., polyfuzně svařené, D 25 x 3,5 mm, např.Wavin Basalt Plus</t>
  </si>
  <si>
    <t>38</t>
  </si>
  <si>
    <t>722178711R00</t>
  </si>
  <si>
    <t>Potrubí vícevrstvé vodov., polyfuzně svařené, D 20 x 2,8 mm, např.Wavin Basalt Plus</t>
  </si>
  <si>
    <t>39</t>
  </si>
  <si>
    <t>722280106R00</t>
  </si>
  <si>
    <t>Tlaková zkouška vodovodního potrubí do DN 32 mm</t>
  </si>
  <si>
    <t>40</t>
  </si>
  <si>
    <t>722280107R00</t>
  </si>
  <si>
    <t>Tlaková zkouška vodovodního potrubí DN 40 mm</t>
  </si>
  <si>
    <t>41</t>
  </si>
  <si>
    <t>722280108R00</t>
  </si>
  <si>
    <t>Tlaková zkouška vodovodního potrubí DN 50 mm</t>
  </si>
  <si>
    <t>42</t>
  </si>
  <si>
    <t>722280109R00</t>
  </si>
  <si>
    <t>Tlaková zkouška vodovodního potrubí DN 65 mm</t>
  </si>
  <si>
    <t>43</t>
  </si>
  <si>
    <t>722290215R00</t>
  </si>
  <si>
    <t>Tlaková zkouška vodovodního potrubí DN 80 mm</t>
  </si>
  <si>
    <t>44</t>
  </si>
  <si>
    <t>998722101R00</t>
  </si>
  <si>
    <t>Přesun hmot pro vnitřní vodovod, výšky do 6 m</t>
  </si>
  <si>
    <t>45</t>
  </si>
  <si>
    <t>998722194R00</t>
  </si>
  <si>
    <t>Příplatek za zvětšený přesun, vnitřní vodovod do 1 km</t>
  </si>
  <si>
    <t>46</t>
  </si>
  <si>
    <t>722235644R00</t>
  </si>
  <si>
    <t>Ventil vodovodní, zpětný, kontrolovatelný, DN 32 mm, např. IVAR.CIM 33CREA</t>
  </si>
  <si>
    <t>47</t>
  </si>
  <si>
    <t>722235645R00</t>
  </si>
  <si>
    <t>Ventil vodovodní, zpětný, kontrolovatelný, DN 40 mm, např. IVAR.CIM 33CREA</t>
  </si>
  <si>
    <t>48</t>
  </si>
  <si>
    <t>722235646R00</t>
  </si>
  <si>
    <t>Ventil vodovodní, zpětný, kontrolovatelný, DN 50 mm, např. IVAR.CIM 33CREA</t>
  </si>
  <si>
    <t>49</t>
  </si>
  <si>
    <t>722235647R00</t>
  </si>
  <si>
    <t>Ventil vodovodní, zpětný, kontrolovatelný, DN 65 mm, např. IVAR.CIM 33CREA</t>
  </si>
  <si>
    <t>731</t>
  </si>
  <si>
    <t>Kotelny</t>
  </si>
  <si>
    <t>50</t>
  </si>
  <si>
    <t>731341140R00</t>
  </si>
  <si>
    <t>Hadice napouštěcí pryžové</t>
  </si>
  <si>
    <t>731_</t>
  </si>
  <si>
    <t>01_73_</t>
  </si>
  <si>
    <t>732</t>
  </si>
  <si>
    <t>Strojovny</t>
  </si>
  <si>
    <t>51</t>
  </si>
  <si>
    <t>732000009VD</t>
  </si>
  <si>
    <t>Úpravna vody - Sůl regenerační pro AFE (40x25kg - pytel pro prvotní provoz) včetně naplnění</t>
  </si>
  <si>
    <t>732_</t>
  </si>
  <si>
    <t>52</t>
  </si>
  <si>
    <t>732000007VD</t>
  </si>
  <si>
    <t>Úpravna vody - AFE225 triplex automatický filtr pro snížení tvrdosti, železa a manganu včetně montáže</t>
  </si>
  <si>
    <t>53</t>
  </si>
  <si>
    <t>732000008VD</t>
  </si>
  <si>
    <t>Úpravna vody - NW500 ochranný předfiltr pro AFE včetně montáže</t>
  </si>
  <si>
    <t>54</t>
  </si>
  <si>
    <t>732000010VD</t>
  </si>
  <si>
    <t>Úpravna vody - AIR filtr Centaure pro zachycení CO2 včetně montáže</t>
  </si>
  <si>
    <t>734</t>
  </si>
  <si>
    <t>Armatury</t>
  </si>
  <si>
    <t>55</t>
  </si>
  <si>
    <t>722221112R00</t>
  </si>
  <si>
    <t>Kohout vypouštěcí kulový, DN 15 mm</t>
  </si>
  <si>
    <t>734_</t>
  </si>
  <si>
    <t>56</t>
  </si>
  <si>
    <t>734235121R00</t>
  </si>
  <si>
    <t>Kohout kulový,2xvnitřní záv. DN 15</t>
  </si>
  <si>
    <t>57</t>
  </si>
  <si>
    <t>734235122R00</t>
  </si>
  <si>
    <t>Kohout kulový,2xvnitřní záv. DN 20</t>
  </si>
  <si>
    <t>58</t>
  </si>
  <si>
    <t>734235123R00</t>
  </si>
  <si>
    <t>Kohout kulový,2xvnitřní záv. DN 25</t>
  </si>
  <si>
    <t>59</t>
  </si>
  <si>
    <t>734235124R00</t>
  </si>
  <si>
    <t>Kohout kulový,2xvnitřní záv. DN 32</t>
  </si>
  <si>
    <t>60</t>
  </si>
  <si>
    <t>734235125R00</t>
  </si>
  <si>
    <t>Kohout kulový,2xvnitřní záv. DN 40</t>
  </si>
  <si>
    <t>61</t>
  </si>
  <si>
    <t>734235126R00</t>
  </si>
  <si>
    <t>Kohout kulový,2xvnitřní záv. DN 50</t>
  </si>
  <si>
    <t>62</t>
  </si>
  <si>
    <t>734235127R00</t>
  </si>
  <si>
    <t>Kohout kulový,2xvnitřní záv. DN 65</t>
  </si>
  <si>
    <t>63</t>
  </si>
  <si>
    <t>734235128R00</t>
  </si>
  <si>
    <t>Kohout kulový,2xvnitřní záv. DN 80</t>
  </si>
  <si>
    <t>VORN</t>
  </si>
  <si>
    <t>Vedlejší a ostatní rozpočtové náklady</t>
  </si>
  <si>
    <t>01VRN</t>
  </si>
  <si>
    <t>Průzkumy, geodetické a projektové práce</t>
  </si>
  <si>
    <t>64</t>
  </si>
  <si>
    <t>005211010RIM</t>
  </si>
  <si>
    <t>Předání a převzetí staveniště</t>
  </si>
  <si>
    <t>Soubor</t>
  </si>
  <si>
    <t>RTS I / 2023</t>
  </si>
  <si>
    <t>99</t>
  </si>
  <si>
    <t>01VRN_</t>
  </si>
  <si>
    <t>01_Â _</t>
  </si>
  <si>
    <t>65</t>
  </si>
  <si>
    <t>005122 RIM</t>
  </si>
  <si>
    <t>Provozní vlivy</t>
  </si>
  <si>
    <t>66</t>
  </si>
  <si>
    <t>005124010RIM</t>
  </si>
  <si>
    <t>Koordinační činnost</t>
  </si>
  <si>
    <t>67</t>
  </si>
  <si>
    <t>101VRNVD</t>
  </si>
  <si>
    <t>Mimostaveništní doprava</t>
  </si>
  <si>
    <t>vlastní</t>
  </si>
  <si>
    <t>68</t>
  </si>
  <si>
    <t>005231020RIM</t>
  </si>
  <si>
    <t>Individuální a komplexní vyzkoušení</t>
  </si>
  <si>
    <t>Demontáže a demolice</t>
  </si>
  <si>
    <t>02</t>
  </si>
  <si>
    <t>69</t>
  </si>
  <si>
    <t>713300822R00</t>
  </si>
  <si>
    <t>Odstranění stávající tepelné izolace</t>
  </si>
  <si>
    <t>02_71_</t>
  </si>
  <si>
    <t>02_</t>
  </si>
  <si>
    <t>733</t>
  </si>
  <si>
    <t>Rozvod potrubí</t>
  </si>
  <si>
    <t>70</t>
  </si>
  <si>
    <t>733110806R00</t>
  </si>
  <si>
    <t>Demontáž a likvidace potrubí ocelového do DN 15-32</t>
  </si>
  <si>
    <t>733_</t>
  </si>
  <si>
    <t>02_73_</t>
  </si>
  <si>
    <t>71</t>
  </si>
  <si>
    <t>733110808R00</t>
  </si>
  <si>
    <t>Demontáž a likvidace potrubí ocelového do DN 32-50</t>
  </si>
  <si>
    <t>72</t>
  </si>
  <si>
    <t>733110810R00</t>
  </si>
  <si>
    <t>Demontáž a likvidace potrubí ocelového do DN 50-80</t>
  </si>
  <si>
    <t>73</t>
  </si>
  <si>
    <t>998733101R00</t>
  </si>
  <si>
    <t>Přesun hmot pro rozvody potrubí, výšky do 6 m</t>
  </si>
  <si>
    <t>74</t>
  </si>
  <si>
    <t>998733193R00</t>
  </si>
  <si>
    <t>Příplatek zvětš. přesun, rozvody potrubí do 500 m</t>
  </si>
  <si>
    <t>RTS I / 2024</t>
  </si>
  <si>
    <t>75</t>
  </si>
  <si>
    <t>734200822R00</t>
  </si>
  <si>
    <t>Demontáž a likvidace armatur do DN 25</t>
  </si>
  <si>
    <t>76</t>
  </si>
  <si>
    <t>734200824R00</t>
  </si>
  <si>
    <t>Demontáž a likvidace armatur do DN50</t>
  </si>
  <si>
    <t>77</t>
  </si>
  <si>
    <t>734100812R00</t>
  </si>
  <si>
    <t>Demontáž armatur se dvěma přírubami do DN 80</t>
  </si>
  <si>
    <t>78</t>
  </si>
  <si>
    <t>998734101R00</t>
  </si>
  <si>
    <t>Přesun hmot pro armatury, výšky do 6 m</t>
  </si>
  <si>
    <t>79</t>
  </si>
  <si>
    <t>998734193R00</t>
  </si>
  <si>
    <t>Příplatek zvětšený přesun, armatury do 500 m</t>
  </si>
  <si>
    <t>95</t>
  </si>
  <si>
    <t>Různé dokončovací konstrukce a práce na pozemních stavbách</t>
  </si>
  <si>
    <t>80</t>
  </si>
  <si>
    <t>952902110R00</t>
  </si>
  <si>
    <t>Zametání v místnostech, chodbách, na schodišti a na půdách</t>
  </si>
  <si>
    <t>95_</t>
  </si>
  <si>
    <t>02_9_</t>
  </si>
  <si>
    <t>97</t>
  </si>
  <si>
    <t>Prorážení otvorů a ostatní bourací práce</t>
  </si>
  <si>
    <t>81</t>
  </si>
  <si>
    <t>970031080R00</t>
  </si>
  <si>
    <t>Vrtání jádrové do zdiva cihelného do D 80 mm</t>
  </si>
  <si>
    <t>97_</t>
  </si>
  <si>
    <t>82</t>
  </si>
  <si>
    <t>970034080R00</t>
  </si>
  <si>
    <t>Příp. za jádr. vrt. vod. ve stěně cihel do D 80 mm</t>
  </si>
  <si>
    <t>83</t>
  </si>
  <si>
    <t>970031130R00</t>
  </si>
  <si>
    <t>Vrtání jádrové do zdiva cihelného do D 130 mm</t>
  </si>
  <si>
    <t>84</t>
  </si>
  <si>
    <t>970034130R00</t>
  </si>
  <si>
    <t>Příp. za jádr. vrt. vod. ve stěně cihel do D 130mm</t>
  </si>
  <si>
    <t>85</t>
  </si>
  <si>
    <t>970031160R00</t>
  </si>
  <si>
    <t>Vrtání jádrové do zdiva cihelného do D 160 mm</t>
  </si>
  <si>
    <t>86</t>
  </si>
  <si>
    <t>970034160R00</t>
  </si>
  <si>
    <t>Příp. za jádr. vrt. vod. ve stěně cihel do D 160mm</t>
  </si>
  <si>
    <t>S</t>
  </si>
  <si>
    <t>Přesuny sutí</t>
  </si>
  <si>
    <t>87</t>
  </si>
  <si>
    <t>979017111R00</t>
  </si>
  <si>
    <t>Svislé přemístění suti nošením na H do 3,5 m</t>
  </si>
  <si>
    <t>S_</t>
  </si>
  <si>
    <t>88</t>
  </si>
  <si>
    <t>979083117R00</t>
  </si>
  <si>
    <t>Vodorovné přemístění suti na skládku do 6000 m</t>
  </si>
  <si>
    <t>89</t>
  </si>
  <si>
    <t>979083191R00</t>
  </si>
  <si>
    <t>Příplatek za dalších započatých 4000 m nad 6000 m</t>
  </si>
  <si>
    <t>90</t>
  </si>
  <si>
    <t>979087213R00</t>
  </si>
  <si>
    <t>Nakládání vybour.hmot na dop.prostředky-komunikace</t>
  </si>
  <si>
    <t>91</t>
  </si>
  <si>
    <t>979999999R00</t>
  </si>
  <si>
    <t>Poplatek za recyklaci suť do 10 % příměsí - DUFONEV Brno</t>
  </si>
  <si>
    <t>Stavební část</t>
  </si>
  <si>
    <t>Hloubené vykopávky</t>
  </si>
  <si>
    <t>03</t>
  </si>
  <si>
    <t>92</t>
  </si>
  <si>
    <t>139711101RT3</t>
  </si>
  <si>
    <t>Vykopávka v uzavřených prostorách v hor.1-4</t>
  </si>
  <si>
    <t>m3</t>
  </si>
  <si>
    <t>13_</t>
  </si>
  <si>
    <t>03_1_</t>
  </si>
  <si>
    <t>03_</t>
  </si>
  <si>
    <t>Základy</t>
  </si>
  <si>
    <t>93</t>
  </si>
  <si>
    <t>279351101R00IM</t>
  </si>
  <si>
    <t>Bednění stěn základových zdí, jednostranné-zřízení</t>
  </si>
  <si>
    <t>27_</t>
  </si>
  <si>
    <t>03_2_</t>
  </si>
  <si>
    <t>94</t>
  </si>
  <si>
    <t>279351102R00IM</t>
  </si>
  <si>
    <t>Bednění stěn základových zdí, jednostranné-odstran</t>
  </si>
  <si>
    <t>Stropy a stropní konstrukce (pro pozemní stavby)</t>
  </si>
  <si>
    <t>416064112R00</t>
  </si>
  <si>
    <t>Podhled sádrokartonový kazetový 600 x 600 mm, závěsný rošt, bez izolace včetně montáže</t>
  </si>
  <si>
    <t>41_</t>
  </si>
  <si>
    <t>03_4_</t>
  </si>
  <si>
    <t>96</t>
  </si>
  <si>
    <t>767584141R00</t>
  </si>
  <si>
    <t>Demontáž podhledů kazetových</t>
  </si>
  <si>
    <t>Zastřešení</t>
  </si>
  <si>
    <t>44984124RIM</t>
  </si>
  <si>
    <t>Přístroj hasicí práškový NEURUPPIN PG 6 PDC (do místnosti úpravny vody)</t>
  </si>
  <si>
    <t>44_</t>
  </si>
  <si>
    <t>Omítky ze suchých směsí</t>
  </si>
  <si>
    <t>98</t>
  </si>
  <si>
    <t>602016101R00IM</t>
  </si>
  <si>
    <t>Postřik stěn cementový PROFI Spritzer ručně</t>
  </si>
  <si>
    <t>60_</t>
  </si>
  <si>
    <t>03_6_</t>
  </si>
  <si>
    <t>Podlahy a stěny</t>
  </si>
  <si>
    <t>631312621R00IM</t>
  </si>
  <si>
    <t>Mazanina betonová tl. 5 - 8 cm C 20/25</t>
  </si>
  <si>
    <t>63_</t>
  </si>
  <si>
    <t>100</t>
  </si>
  <si>
    <t>631313511R00IM</t>
  </si>
  <si>
    <t>Mazanina betonová tl. 8 - 12 cm C 12/15</t>
  </si>
  <si>
    <t>101</t>
  </si>
  <si>
    <t>632411150RT2IM</t>
  </si>
  <si>
    <t>Potěr ze SMS Cemix, ruční zpracování, tl. 50 mm cementový potěr 30 Cemix 030, 30 MPa</t>
  </si>
  <si>
    <t>711</t>
  </si>
  <si>
    <t>Izolace proti vodě</t>
  </si>
  <si>
    <t>102</t>
  </si>
  <si>
    <t>711199095R00IM</t>
  </si>
  <si>
    <t>Příplatek za plochu do 10 m2, natěradly</t>
  </si>
  <si>
    <t>711_</t>
  </si>
  <si>
    <t>03_71_</t>
  </si>
  <si>
    <t>103</t>
  </si>
  <si>
    <t>711212000R00IM</t>
  </si>
  <si>
    <t>Penetrace podkladu pod hydroizolační nátěr,vč.dod.</t>
  </si>
  <si>
    <t>104</t>
  </si>
  <si>
    <t>711212002R00IM</t>
  </si>
  <si>
    <t>Hydroizolační povlak - nátěr nebo stěrka</t>
  </si>
  <si>
    <t>105</t>
  </si>
  <si>
    <t>732199100RM1IM</t>
  </si>
  <si>
    <t>Montáž orientačního štítku včetně dodávky štítku</t>
  </si>
  <si>
    <t>03_73_</t>
  </si>
  <si>
    <t>767</t>
  </si>
  <si>
    <t>Konstrukce doplňkové stavební (zámečnické)</t>
  </si>
  <si>
    <t>106</t>
  </si>
  <si>
    <t>767510111R00IM</t>
  </si>
  <si>
    <t>Montáž kanálových krytů - osazení</t>
  </si>
  <si>
    <t>kg</t>
  </si>
  <si>
    <t>767_</t>
  </si>
  <si>
    <t>03_76_</t>
  </si>
  <si>
    <t>777</t>
  </si>
  <si>
    <t>Podlahy ze syntetických hmot</t>
  </si>
  <si>
    <t>107</t>
  </si>
  <si>
    <t>777611901R00IM</t>
  </si>
  <si>
    <t>Opravy podlah-epoxidová penetrace S 1300</t>
  </si>
  <si>
    <t>777_</t>
  </si>
  <si>
    <t>03_77_</t>
  </si>
  <si>
    <t>783</t>
  </si>
  <si>
    <t>Nátěry</t>
  </si>
  <si>
    <t>108</t>
  </si>
  <si>
    <t>783124220R00IM</t>
  </si>
  <si>
    <t>Nátěr syntetický OK "B" 1x + 2x email</t>
  </si>
  <si>
    <t>783_</t>
  </si>
  <si>
    <t>03_78_</t>
  </si>
  <si>
    <t>109</t>
  </si>
  <si>
    <t>783851223R00IM</t>
  </si>
  <si>
    <t>Nátěr epoxidový betonových podlah Ekopox 640</t>
  </si>
  <si>
    <t>110</t>
  </si>
  <si>
    <t>952901111R00IM</t>
  </si>
  <si>
    <t>Vyčištění budov o výšce podlaží do 4 m</t>
  </si>
  <si>
    <t>03_9_</t>
  </si>
  <si>
    <t>111</t>
  </si>
  <si>
    <t>952902110R00IM</t>
  </si>
  <si>
    <t>Čištění zametáním v místnostech a chodbách</t>
  </si>
  <si>
    <t>Bourání konstrukcí</t>
  </si>
  <si>
    <t>112</t>
  </si>
  <si>
    <t>961044111R00IM</t>
  </si>
  <si>
    <t>Bourání základů z betonu prostého</t>
  </si>
  <si>
    <t>96_</t>
  </si>
  <si>
    <t>113</t>
  </si>
  <si>
    <t>970031080R00IM</t>
  </si>
  <si>
    <t>114</t>
  </si>
  <si>
    <t>970031250R00IM</t>
  </si>
  <si>
    <t>Vrtání jádrové do zdiva cihelného do D 250 mm</t>
  </si>
  <si>
    <t>115</t>
  </si>
  <si>
    <t>978013191R00IM</t>
  </si>
  <si>
    <t>Otlučení omítek vnitřních stěn v rozsahu do 100 %</t>
  </si>
  <si>
    <t>116</t>
  </si>
  <si>
    <t>979087112R00IM</t>
  </si>
  <si>
    <t>Nakládání suti na dopravní prostředky</t>
  </si>
  <si>
    <t>117</t>
  </si>
  <si>
    <t>979017111R00IM</t>
  </si>
  <si>
    <t>118</t>
  </si>
  <si>
    <t>979083117R00IM</t>
  </si>
  <si>
    <t>119</t>
  </si>
  <si>
    <t>979999999R00IM</t>
  </si>
  <si>
    <t>Poplatek za skládku 10 % příměsí - DUFONEV Brno</t>
  </si>
  <si>
    <t>120</t>
  </si>
  <si>
    <t>998011001R00IM</t>
  </si>
  <si>
    <t>Přesun hmot pro budovy zděné výšky do 6 m</t>
  </si>
  <si>
    <t>121</t>
  </si>
  <si>
    <t>998767101R00IM</t>
  </si>
  <si>
    <t>Přesun hmot pro zámečnické konstr., výšky do 6 m</t>
  </si>
  <si>
    <t>Ostatní materiál</t>
  </si>
  <si>
    <t>122</t>
  </si>
  <si>
    <t>55347110.AIM</t>
  </si>
  <si>
    <t>Rošt podlahový 30/2 lisovaný "P"   700x1000 mm</t>
  </si>
  <si>
    <t>0</t>
  </si>
  <si>
    <t>Z99999_</t>
  </si>
  <si>
    <t>03_Z_</t>
  </si>
  <si>
    <t>Celkem:</t>
  </si>
  <si>
    <t>Poznámka:</t>
  </si>
  <si>
    <t>Rozpočet slouží výhradně a pouze pro výběr zhotovitele. Rozpočet je sestaven na základě vyhlášky č. 169/2016 Sb. Zhotovitel je povinen zkontrolovat rozpočet a doplnit chybějící položky. V opačném případě je zhotovitel povinen upozornit zadavatele na případné nedostatky. Ceny v nabídce musí vycházet nejen z předloženého soupisu výkonů, ale i ze znalosti celého projektu. Prostudování kompletní dokumentace je nutnou podmínkou předložení nabídky. Veškeré konstrukce a zařízení se dodávají jako plně funkční celek.</t>
  </si>
  <si>
    <t>Krycí list slepého rozpočtu</t>
  </si>
  <si>
    <t>IČO/DIČ:</t>
  </si>
  <si>
    <t>26932211/</t>
  </si>
  <si>
    <t>10752919/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</si>
  <si>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</si>
  <si>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</si>
  <si>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</si>
  <si>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</si>
  <si>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</si>
  <si>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</si>
  <si>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</si>
  <si>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</si>
  <si>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</si>
  <si>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</si>
  <si>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</si>
  <si>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</si>
  <si>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</si>
  <si>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</si>
  <si>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</si>
  <si>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</si>
  <si>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</si>
  <si>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</si>
  <si>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"M"</t>
  </si>
  <si>
    <t>Ostatní</t>
  </si>
  <si>
    <t>NUS z rozpočtu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</si>
  <si>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</si>
  <si>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</si>
  <si>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</si>
  <si>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</si>
  <si>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</si>
  <si>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</si>
  <si>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</si>
  <si>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</si>
  <si>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</si>
  <si>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</si>
  <si>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</si>
  <si>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</si>
  <si>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</si>
  <si>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</si>
  <si>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</si>
  <si>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</si>
  <si>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</si>
  <si>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</si>
  <si>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</si>
  <si>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 xml:space="preserve">Rozpočet slouží výhradně a pouze pro výběr zhotovitele. Rozpočet je sestaven na základě vyhlášky č. 169/2016 Sb. Zhotovitel je povinen zkontrolovat rozpočet a doplnit chybějící položky. V opačném případě je zhotovitel povinen upozornit zadavatele na případné nedostatky. Ceny v nabídce musí vycházet nejen z předloženého soupisu výkonů, ale i ze znalosti celého projektu. Prostudování kompletní dokumentace je nutnou podmínkou předložení nabídky. Veškeré konstrukce a zařízení se dodávají jako plně funkční celek. 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</si>
  <si>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</si>
  <si>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</si>
  <si>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</si>
  <si>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</si>
  <si>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</si>
  <si>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</si>
  <si>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</si>
  <si>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</si>
  <si>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</si>
  <si>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</si>
  <si>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Příprava staveniště</t>
  </si>
  <si>
    <t>Inženýrské činnosti</t>
  </si>
  <si>
    <t>Finanční náklady</t>
  </si>
  <si>
    <t>Náklady na pracovníky</t>
  </si>
  <si>
    <t>Ostatní náklady</t>
  </si>
  <si>
    <t>Vlastní VORN</t>
  </si>
  <si>
    <t>Celkem VORN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</si>
</sst>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4" fontId="9" fillId="0" borderId="12" xfId="0" applyNumberFormat="1" applyFont="1" applyBorder="1" applyAlignment="1">
      <alignment horizontal="right" vertical="center"/>
    </xf>
    <xf numFmtId="4" fontId="8" fillId="2" borderId="14" xfId="0" applyNumberFormat="1" applyFont="1" applyFill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4" fontId="3" fillId="0" borderId="31" xfId="0" applyNumberFormat="1" applyFont="1" applyBorder="1" applyAlignment="1">
      <alignment horizontal="right" vertical="center"/>
    </xf>
    <xf numFmtId="0" fontId="3" fillId="0" borderId="31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3" xfId="0" applyFont="1" applyBorder="1" applyAlignment="1">
      <alignment horizontal="right" vertical="center"/>
    </xf>
    <xf numFmtId="4" fontId="2" fillId="0" borderId="33" xfId="0" applyNumberFormat="1" applyFont="1" applyBorder="1" applyAlignment="1">
      <alignment horizontal="right" vertical="center"/>
    </xf>
    <xf numFmtId="4" fontId="2" fillId="2" borderId="30" xfId="0" applyNumberFormat="1" applyFont="1" applyFill="1" applyBorder="1" applyAlignment="1">
      <alignment horizontal="right" vertical="center"/>
    </xf>
    <xf numFmtId="0" fontId="3" fillId="3" borderId="30" xfId="0" applyFont="1" applyFill="1" applyBorder="1" applyAlignment="1" applyProtection="1">
      <alignment horizontal="left" vertical="center"/>
      <protection locked="0"/>
    </xf>
    <xf numFmtId="0" fontId="3" fillId="0" borderId="3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2" fillId="3" borderId="27" xfId="0" applyFont="1" applyFill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vertical="center"/>
    </xf>
    <xf numFmtId="4" fontId="3" fillId="0" borderId="30" xfId="0" applyNumberFormat="1" applyFont="1" applyBorder="1" applyAlignment="1">
      <alignment horizontal="right" vertical="center"/>
    </xf>
    <xf numFmtId="4" fontId="3" fillId="3" borderId="30" xfId="0" applyNumberFormat="1" applyFont="1" applyFill="1" applyBorder="1" applyAlignment="1" applyProtection="1">
      <alignment horizontal="right" vertical="center"/>
      <protection locked="0"/>
    </xf>
    <xf numFmtId="0" fontId="3" fillId="0" borderId="31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4" fontId="3" fillId="0" borderId="19" xfId="0" applyNumberFormat="1" applyFont="1" applyBorder="1" applyAlignment="1">
      <alignment horizontal="right" vertical="center"/>
    </xf>
    <xf numFmtId="4" fontId="3" fillId="3" borderId="19" xfId="0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Border="1" applyAlignment="1">
      <alignment horizontal="right" vertical="center"/>
    </xf>
    <xf numFmtId="4" fontId="2" fillId="0" borderId="30" xfId="0" applyNumberFormat="1" applyFont="1" applyBorder="1" applyAlignment="1">
      <alignment horizontal="right" vertical="center"/>
    </xf>
    <xf numFmtId="0" fontId="4" fillId="0" borderId="30" xfId="0" applyFont="1" applyBorder="1" applyAlignment="1">
      <alignment horizontal="left" vertical="center"/>
    </xf>
    <xf numFmtId="4" fontId="9" fillId="0" borderId="14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4" fontId="9" fillId="0" borderId="31" xfId="0" applyNumberFormat="1" applyFont="1" applyBorder="1" applyAlignment="1">
      <alignment horizontal="right" vertical="center"/>
    </xf>
    <xf numFmtId="0" fontId="9" fillId="0" borderId="31" xfId="0" applyFont="1" applyBorder="1" applyAlignment="1">
      <alignment horizontal="right" vertical="center"/>
    </xf>
    <xf numFmtId="4" fontId="9" fillId="0" borderId="10" xfId="0" applyNumberFormat="1" applyFont="1" applyBorder="1" applyAlignment="1">
      <alignment horizontal="right" vertical="center"/>
    </xf>
    <xf numFmtId="4" fontId="8" fillId="2" borderId="12" xfId="0" applyNumberFormat="1" applyFont="1" applyFill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0" fontId="1" fillId="0" borderId="3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3" borderId="30" xfId="0" applyFont="1" applyFill="1" applyBorder="1" applyAlignment="1" applyProtection="1">
      <alignment horizontal="left" vertical="center" wrapText="1"/>
      <protection locked="0"/>
    </xf>
    <xf numFmtId="0" fontId="3" fillId="3" borderId="30" xfId="0" applyFont="1" applyFill="1" applyBorder="1" applyAlignment="1" applyProtection="1">
      <alignment horizontal="left" vertical="center"/>
      <protection locked="0"/>
    </xf>
    <xf numFmtId="0" fontId="3" fillId="3" borderId="31" xfId="0" applyFont="1" applyFill="1" applyBorder="1" applyAlignment="1" applyProtection="1">
      <alignment horizontal="left" vertical="center"/>
      <protection locked="0"/>
    </xf>
    <xf numFmtId="0" fontId="2" fillId="0" borderId="2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2" fillId="0" borderId="2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0" fontId="1" fillId="0" borderId="30" xfId="0" applyFont="1" applyBorder="1" applyAlignment="1">
      <alignment horizontal="center" vertical="center" wrapText="1"/>
    </xf>
    <xf numFmtId="1" fontId="3" fillId="0" borderId="31" xfId="0" applyNumberFormat="1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4" fontId="8" fillId="0" borderId="34" xfId="0" applyNumberFormat="1" applyFont="1" applyBorder="1" applyAlignment="1">
      <alignment horizontal="right" vertical="center"/>
    </xf>
    <xf numFmtId="0" fontId="8" fillId="0" borderId="34" xfId="0" applyFont="1" applyBorder="1" applyAlignment="1">
      <alignment horizontal="right" vertical="center"/>
    </xf>
    <xf numFmtId="0" fontId="8" fillId="0" borderId="33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169"/>
  <sheetViews>
    <sheetView tabSelected="1" workbookViewId="0">
      <pane ySplit="11" topLeftCell="A12" activePane="bottomLeft" state="frozen"/>
      <selection pane="bottomLeft" activeCell="I8" sqref="I8:K9"/>
    </sheetView>
  </sheetViews>
  <sheetFormatPr defaultColWidth="12.109375" defaultRowHeight="15" customHeight="1" x14ac:dyDescent="0.3"/>
  <cols>
    <col min="1" max="1" width="4" customWidth="1"/>
    <col min="2" max="2" width="17.88671875" customWidth="1"/>
    <col min="3" max="3" width="42.88671875" customWidth="1"/>
    <col min="4" max="4" width="35.6640625" customWidth="1"/>
    <col min="5" max="5" width="6.6640625" customWidth="1"/>
    <col min="6" max="6" width="12.88671875" customWidth="1"/>
    <col min="7" max="7" width="12" customWidth="1"/>
    <col min="8" max="10" width="15.6640625" customWidth="1"/>
    <col min="11" max="11" width="13.44140625" customWidth="1"/>
    <col min="25" max="75" width="12.109375" hidden="1"/>
    <col min="76" max="76" width="78.5546875" hidden="1" customWidth="1"/>
    <col min="77" max="78" width="12.109375" hidden="1"/>
  </cols>
  <sheetData>
    <row r="1" spans="1:76" ht="54.75" customHeight="1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AS1" s="24">
        <f>SUM(AJ1:AJ2)</f>
        <v>0</v>
      </c>
      <c r="AT1" s="24">
        <f>SUM(AK1:AK2)</f>
        <v>0</v>
      </c>
      <c r="AU1" s="24">
        <f>SUM(AL1:AL2)</f>
        <v>0</v>
      </c>
    </row>
    <row r="2" spans="1:76" ht="14.4" x14ac:dyDescent="0.3">
      <c r="A2" s="55" t="s">
        <v>1</v>
      </c>
      <c r="B2" s="56"/>
      <c r="C2" s="62" t="s">
        <v>2</v>
      </c>
      <c r="D2" s="63"/>
      <c r="E2" s="56" t="s">
        <v>3</v>
      </c>
      <c r="F2" s="56"/>
      <c r="G2" s="72" t="s">
        <v>4</v>
      </c>
      <c r="H2" s="60" t="s">
        <v>5</v>
      </c>
      <c r="I2" s="60" t="s">
        <v>6</v>
      </c>
      <c r="J2" s="56"/>
      <c r="K2" s="65"/>
    </row>
    <row r="3" spans="1:76" ht="14.4" x14ac:dyDescent="0.3">
      <c r="A3" s="57"/>
      <c r="B3" s="58"/>
      <c r="C3" s="64"/>
      <c r="D3" s="64"/>
      <c r="E3" s="58"/>
      <c r="F3" s="58"/>
      <c r="G3" s="68"/>
      <c r="H3" s="58"/>
      <c r="I3" s="58"/>
      <c r="J3" s="58"/>
      <c r="K3" s="66"/>
    </row>
    <row r="4" spans="1:76" ht="14.4" x14ac:dyDescent="0.3">
      <c r="A4" s="59" t="s">
        <v>7</v>
      </c>
      <c r="B4" s="58"/>
      <c r="C4" s="61" t="s">
        <v>8</v>
      </c>
      <c r="D4" s="58"/>
      <c r="E4" s="58" t="s">
        <v>9</v>
      </c>
      <c r="F4" s="58"/>
      <c r="G4" s="68"/>
      <c r="H4" s="61" t="s">
        <v>10</v>
      </c>
      <c r="I4" s="61" t="s">
        <v>11</v>
      </c>
      <c r="J4" s="58"/>
      <c r="K4" s="66"/>
    </row>
    <row r="5" spans="1:76" ht="14.4" x14ac:dyDescent="0.3">
      <c r="A5" s="57"/>
      <c r="B5" s="58"/>
      <c r="C5" s="58"/>
      <c r="D5" s="58"/>
      <c r="E5" s="58"/>
      <c r="F5" s="58"/>
      <c r="G5" s="68"/>
      <c r="H5" s="58"/>
      <c r="I5" s="58"/>
      <c r="J5" s="58"/>
      <c r="K5" s="66"/>
    </row>
    <row r="6" spans="1:76" ht="14.4" x14ac:dyDescent="0.3">
      <c r="A6" s="59" t="s">
        <v>12</v>
      </c>
      <c r="B6" s="58"/>
      <c r="C6" s="61" t="s">
        <v>13</v>
      </c>
      <c r="D6" s="58"/>
      <c r="E6" s="58" t="s">
        <v>14</v>
      </c>
      <c r="F6" s="58"/>
      <c r="G6" s="68" t="s">
        <v>4</v>
      </c>
      <c r="H6" s="61" t="s">
        <v>15</v>
      </c>
      <c r="I6" s="67" t="s">
        <v>16</v>
      </c>
      <c r="J6" s="68"/>
      <c r="K6" s="69"/>
    </row>
    <row r="7" spans="1:76" ht="14.4" x14ac:dyDescent="0.3">
      <c r="A7" s="57"/>
      <c r="B7" s="58"/>
      <c r="C7" s="58"/>
      <c r="D7" s="58"/>
      <c r="E7" s="58"/>
      <c r="F7" s="58"/>
      <c r="G7" s="68"/>
      <c r="H7" s="58"/>
      <c r="I7" s="68"/>
      <c r="J7" s="68"/>
      <c r="K7" s="69"/>
    </row>
    <row r="8" spans="1:76" ht="14.4" x14ac:dyDescent="0.3">
      <c r="A8" s="59" t="s">
        <v>17</v>
      </c>
      <c r="B8" s="58"/>
      <c r="C8" s="61" t="s">
        <v>4</v>
      </c>
      <c r="D8" s="58"/>
      <c r="E8" s="58" t="s">
        <v>18</v>
      </c>
      <c r="F8" s="58"/>
      <c r="G8" s="68" t="s">
        <v>19</v>
      </c>
      <c r="H8" s="61" t="s">
        <v>20</v>
      </c>
      <c r="I8" s="67" t="s">
        <v>21</v>
      </c>
      <c r="J8" s="68"/>
      <c r="K8" s="69"/>
    </row>
    <row r="9" spans="1:76" ht="14.4" x14ac:dyDescent="0.3">
      <c r="A9" s="57"/>
      <c r="B9" s="58"/>
      <c r="C9" s="58"/>
      <c r="D9" s="58"/>
      <c r="E9" s="58"/>
      <c r="F9" s="58"/>
      <c r="G9" s="68"/>
      <c r="H9" s="58"/>
      <c r="I9" s="68"/>
      <c r="J9" s="68"/>
      <c r="K9" s="69"/>
    </row>
    <row r="10" spans="1:76" ht="14.4" x14ac:dyDescent="0.3">
      <c r="A10" s="1" t="s">
        <v>22</v>
      </c>
      <c r="B10" s="27" t="s">
        <v>23</v>
      </c>
      <c r="C10" s="70" t="s">
        <v>24</v>
      </c>
      <c r="D10" s="71"/>
      <c r="E10" s="27" t="s">
        <v>25</v>
      </c>
      <c r="F10" s="2" t="s">
        <v>26</v>
      </c>
      <c r="G10" s="28" t="s">
        <v>27</v>
      </c>
      <c r="H10" s="75" t="s">
        <v>28</v>
      </c>
      <c r="I10" s="76"/>
      <c r="J10" s="77"/>
      <c r="K10" s="2" t="s">
        <v>29</v>
      </c>
      <c r="BK10" s="29" t="s">
        <v>30</v>
      </c>
      <c r="BL10" s="30" t="s">
        <v>31</v>
      </c>
      <c r="BW10" s="30" t="s">
        <v>32</v>
      </c>
    </row>
    <row r="11" spans="1:76" ht="14.4" x14ac:dyDescent="0.3">
      <c r="A11" s="3" t="s">
        <v>4</v>
      </c>
      <c r="B11" s="31" t="s">
        <v>4</v>
      </c>
      <c r="C11" s="73" t="s">
        <v>33</v>
      </c>
      <c r="D11" s="74"/>
      <c r="E11" s="31" t="s">
        <v>4</v>
      </c>
      <c r="F11" s="31" t="s">
        <v>4</v>
      </c>
      <c r="G11" s="32" t="s">
        <v>34</v>
      </c>
      <c r="H11" s="4" t="s">
        <v>35</v>
      </c>
      <c r="I11" s="5" t="s">
        <v>36</v>
      </c>
      <c r="J11" s="33" t="s">
        <v>37</v>
      </c>
      <c r="K11" s="5" t="s">
        <v>38</v>
      </c>
      <c r="Z11" s="29" t="s">
        <v>39</v>
      </c>
      <c r="AA11" s="29" t="s">
        <v>40</v>
      </c>
      <c r="AB11" s="29" t="s">
        <v>41</v>
      </c>
      <c r="AC11" s="29" t="s">
        <v>42</v>
      </c>
      <c r="AD11" s="29" t="s">
        <v>43</v>
      </c>
      <c r="AE11" s="29" t="s">
        <v>44</v>
      </c>
      <c r="AF11" s="29" t="s">
        <v>45</v>
      </c>
      <c r="AG11" s="29" t="s">
        <v>46</v>
      </c>
      <c r="AH11" s="29" t="s">
        <v>47</v>
      </c>
      <c r="BH11" s="29" t="s">
        <v>48</v>
      </c>
      <c r="BI11" s="29" t="s">
        <v>49</v>
      </c>
      <c r="BJ11" s="29" t="s">
        <v>50</v>
      </c>
    </row>
    <row r="12" spans="1:76" ht="14.4" x14ac:dyDescent="0.3">
      <c r="A12" s="34" t="s">
        <v>51</v>
      </c>
      <c r="B12" s="35" t="s">
        <v>51</v>
      </c>
      <c r="C12" s="78" t="s">
        <v>52</v>
      </c>
      <c r="D12" s="79"/>
      <c r="E12" s="36" t="s">
        <v>4</v>
      </c>
      <c r="F12" s="36" t="s">
        <v>4</v>
      </c>
      <c r="G12" s="25" t="s">
        <v>4</v>
      </c>
      <c r="H12" s="24">
        <f>H13+H31+H38+H65+H67+H72+H83</f>
        <v>0</v>
      </c>
      <c r="I12" s="24">
        <f>I13+I31+I38+I65+I67+I72+I83</f>
        <v>0</v>
      </c>
      <c r="J12" s="24">
        <f>J13+J31+J38+J65+J67+J72+J83</f>
        <v>0</v>
      </c>
      <c r="K12" s="37" t="s">
        <v>51</v>
      </c>
    </row>
    <row r="13" spans="1:76" ht="14.4" x14ac:dyDescent="0.3">
      <c r="A13" s="34" t="s">
        <v>51</v>
      </c>
      <c r="B13" s="35" t="s">
        <v>53</v>
      </c>
      <c r="C13" s="78" t="s">
        <v>54</v>
      </c>
      <c r="D13" s="79"/>
      <c r="E13" s="36" t="s">
        <v>4</v>
      </c>
      <c r="F13" s="36" t="s">
        <v>4</v>
      </c>
      <c r="G13" s="25" t="s">
        <v>4</v>
      </c>
      <c r="H13" s="24">
        <f>SUM(H14:H30)</f>
        <v>0</v>
      </c>
      <c r="I13" s="24">
        <f>SUM(I14:I30)</f>
        <v>0</v>
      </c>
      <c r="J13" s="24">
        <f>SUM(J14:J30)</f>
        <v>0</v>
      </c>
      <c r="K13" s="37" t="s">
        <v>51</v>
      </c>
      <c r="AI13" s="29" t="s">
        <v>55</v>
      </c>
      <c r="AS13" s="24">
        <f>SUM(AJ14:AJ30)</f>
        <v>0</v>
      </c>
      <c r="AT13" s="24">
        <f>SUM(AK14:AK30)</f>
        <v>0</v>
      </c>
      <c r="AU13" s="24">
        <f>SUM(AL14:AL30)</f>
        <v>0</v>
      </c>
    </row>
    <row r="14" spans="1:76" ht="14.4" x14ac:dyDescent="0.3">
      <c r="A14" s="17" t="s">
        <v>56</v>
      </c>
      <c r="B14" s="18" t="s">
        <v>57</v>
      </c>
      <c r="C14" s="61" t="s">
        <v>58</v>
      </c>
      <c r="D14" s="58"/>
      <c r="E14" s="18" t="s">
        <v>59</v>
      </c>
      <c r="F14" s="38">
        <v>548.6</v>
      </c>
      <c r="G14" s="39">
        <v>0</v>
      </c>
      <c r="H14" s="38">
        <f t="shared" ref="H14:H30" si="0">ROUND(F14*AO14,2)</f>
        <v>0</v>
      </c>
      <c r="I14" s="38">
        <f t="shared" ref="I14:I30" si="1">ROUND(F14*AP14,2)</f>
        <v>0</v>
      </c>
      <c r="J14" s="38">
        <f t="shared" ref="J14:J30" si="2">ROUND(F14*G14,2)</f>
        <v>0</v>
      </c>
      <c r="K14" s="40" t="s">
        <v>60</v>
      </c>
      <c r="Z14" s="38">
        <f t="shared" ref="Z14:Z30" si="3">ROUND(IF(AQ14="5",BJ14,0),2)</f>
        <v>0</v>
      </c>
      <c r="AB14" s="38">
        <f t="shared" ref="AB14:AB30" si="4">ROUND(IF(AQ14="1",BH14,0),2)</f>
        <v>0</v>
      </c>
      <c r="AC14" s="38">
        <f t="shared" ref="AC14:AC30" si="5">ROUND(IF(AQ14="1",BI14,0),2)</f>
        <v>0</v>
      </c>
      <c r="AD14" s="38">
        <f t="shared" ref="AD14:AD30" si="6">ROUND(IF(AQ14="7",BH14,0),2)</f>
        <v>0</v>
      </c>
      <c r="AE14" s="38">
        <f t="shared" ref="AE14:AE30" si="7">ROUND(IF(AQ14="7",BI14,0),2)</f>
        <v>0</v>
      </c>
      <c r="AF14" s="38">
        <f t="shared" ref="AF14:AF30" si="8">ROUND(IF(AQ14="2",BH14,0),2)</f>
        <v>0</v>
      </c>
      <c r="AG14" s="38">
        <f t="shared" ref="AG14:AG30" si="9">ROUND(IF(AQ14="2",BI14,0),2)</f>
        <v>0</v>
      </c>
      <c r="AH14" s="38">
        <f t="shared" ref="AH14:AH30" si="10">ROUND(IF(AQ14="0",BJ14,0),2)</f>
        <v>0</v>
      </c>
      <c r="AI14" s="29" t="s">
        <v>55</v>
      </c>
      <c r="AJ14" s="38">
        <f t="shared" ref="AJ14:AJ30" si="11">IF(AN14=0,J14,0)</f>
        <v>0</v>
      </c>
      <c r="AK14" s="38">
        <f t="shared" ref="AK14:AK30" si="12">IF(AN14=12,J14,0)</f>
        <v>0</v>
      </c>
      <c r="AL14" s="38">
        <f t="shared" ref="AL14:AL30" si="13">IF(AN14=21,J14,0)</f>
        <v>0</v>
      </c>
      <c r="AN14" s="38">
        <v>0</v>
      </c>
      <c r="AO14" s="38">
        <f>G14*0.087777763</f>
        <v>0</v>
      </c>
      <c r="AP14" s="38">
        <f>G14*(1-0.087777763)</f>
        <v>0</v>
      </c>
      <c r="AQ14" s="41" t="s">
        <v>61</v>
      </c>
      <c r="AV14" s="38">
        <f t="shared" ref="AV14:AV30" si="14">ROUND(AW14+AX14,2)</f>
        <v>0</v>
      </c>
      <c r="AW14" s="38">
        <f t="shared" ref="AW14:AW30" si="15">ROUND(F14*AO14,2)</f>
        <v>0</v>
      </c>
      <c r="AX14" s="38">
        <f t="shared" ref="AX14:AX30" si="16">ROUND(F14*AP14,2)</f>
        <v>0</v>
      </c>
      <c r="AY14" s="41" t="s">
        <v>62</v>
      </c>
      <c r="AZ14" s="41" t="s">
        <v>63</v>
      </c>
      <c r="BA14" s="29" t="s">
        <v>64</v>
      </c>
      <c r="BC14" s="38">
        <f t="shared" ref="BC14:BC30" si="17">AW14+AX14</f>
        <v>0</v>
      </c>
      <c r="BD14" s="38">
        <f t="shared" ref="BD14:BD30" si="18">G14/(100-BE14)*100</f>
        <v>0</v>
      </c>
      <c r="BE14" s="38">
        <v>0</v>
      </c>
      <c r="BF14" s="38">
        <f>14</f>
        <v>14</v>
      </c>
      <c r="BH14" s="38">
        <f t="shared" ref="BH14:BH30" si="19">F14*AO14</f>
        <v>0</v>
      </c>
      <c r="BI14" s="38">
        <f t="shared" ref="BI14:BI30" si="20">F14*AP14</f>
        <v>0</v>
      </c>
      <c r="BJ14" s="38">
        <f t="shared" ref="BJ14:BJ30" si="21">F14*G14</f>
        <v>0</v>
      </c>
      <c r="BK14" s="41" t="s">
        <v>65</v>
      </c>
      <c r="BL14" s="38">
        <v>713</v>
      </c>
      <c r="BW14" s="38">
        <v>0</v>
      </c>
      <c r="BX14" s="26" t="s">
        <v>58</v>
      </c>
    </row>
    <row r="15" spans="1:76" ht="14.4" x14ac:dyDescent="0.3">
      <c r="A15" s="17" t="s">
        <v>66</v>
      </c>
      <c r="B15" s="18" t="s">
        <v>67</v>
      </c>
      <c r="C15" s="61" t="s">
        <v>68</v>
      </c>
      <c r="D15" s="58"/>
      <c r="E15" s="18" t="s">
        <v>69</v>
      </c>
      <c r="F15" s="38">
        <v>417</v>
      </c>
      <c r="G15" s="39">
        <v>0</v>
      </c>
      <c r="H15" s="38">
        <f t="shared" si="0"/>
        <v>0</v>
      </c>
      <c r="I15" s="38">
        <f t="shared" si="1"/>
        <v>0</v>
      </c>
      <c r="J15" s="38">
        <f t="shared" si="2"/>
        <v>0</v>
      </c>
      <c r="K15" s="40" t="s">
        <v>60</v>
      </c>
      <c r="Z15" s="38">
        <f t="shared" si="3"/>
        <v>0</v>
      </c>
      <c r="AB15" s="38">
        <f t="shared" si="4"/>
        <v>0</v>
      </c>
      <c r="AC15" s="38">
        <f t="shared" si="5"/>
        <v>0</v>
      </c>
      <c r="AD15" s="38">
        <f t="shared" si="6"/>
        <v>0</v>
      </c>
      <c r="AE15" s="38">
        <f t="shared" si="7"/>
        <v>0</v>
      </c>
      <c r="AF15" s="38">
        <f t="shared" si="8"/>
        <v>0</v>
      </c>
      <c r="AG15" s="38">
        <f t="shared" si="9"/>
        <v>0</v>
      </c>
      <c r="AH15" s="38">
        <f t="shared" si="10"/>
        <v>0</v>
      </c>
      <c r="AI15" s="29" t="s">
        <v>55</v>
      </c>
      <c r="AJ15" s="38">
        <f t="shared" si="11"/>
        <v>0</v>
      </c>
      <c r="AK15" s="38">
        <f t="shared" si="12"/>
        <v>0</v>
      </c>
      <c r="AL15" s="38">
        <f t="shared" si="13"/>
        <v>0</v>
      </c>
      <c r="AN15" s="38">
        <v>0</v>
      </c>
      <c r="AO15" s="38">
        <f>G15*0.574100135</f>
        <v>0</v>
      </c>
      <c r="AP15" s="38">
        <f>G15*(1-0.574100135)</f>
        <v>0</v>
      </c>
      <c r="AQ15" s="41" t="s">
        <v>61</v>
      </c>
      <c r="AV15" s="38">
        <f t="shared" si="14"/>
        <v>0</v>
      </c>
      <c r="AW15" s="38">
        <f t="shared" si="15"/>
        <v>0</v>
      </c>
      <c r="AX15" s="38">
        <f t="shared" si="16"/>
        <v>0</v>
      </c>
      <c r="AY15" s="41" t="s">
        <v>62</v>
      </c>
      <c r="AZ15" s="41" t="s">
        <v>63</v>
      </c>
      <c r="BA15" s="29" t="s">
        <v>64</v>
      </c>
      <c r="BC15" s="38">
        <f t="shared" si="17"/>
        <v>0</v>
      </c>
      <c r="BD15" s="38">
        <f t="shared" si="18"/>
        <v>0</v>
      </c>
      <c r="BE15" s="38">
        <v>0</v>
      </c>
      <c r="BF15" s="38">
        <f>15</f>
        <v>15</v>
      </c>
      <c r="BH15" s="38">
        <f t="shared" si="19"/>
        <v>0</v>
      </c>
      <c r="BI15" s="38">
        <f t="shared" si="20"/>
        <v>0</v>
      </c>
      <c r="BJ15" s="38">
        <f t="shared" si="21"/>
        <v>0</v>
      </c>
      <c r="BK15" s="41" t="s">
        <v>65</v>
      </c>
      <c r="BL15" s="38">
        <v>713</v>
      </c>
      <c r="BW15" s="38">
        <v>0</v>
      </c>
      <c r="BX15" s="26" t="s">
        <v>68</v>
      </c>
    </row>
    <row r="16" spans="1:76" ht="14.4" x14ac:dyDescent="0.3">
      <c r="A16" s="17" t="s">
        <v>70</v>
      </c>
      <c r="B16" s="18" t="s">
        <v>71</v>
      </c>
      <c r="C16" s="61" t="s">
        <v>72</v>
      </c>
      <c r="D16" s="58"/>
      <c r="E16" s="18" t="s">
        <v>69</v>
      </c>
      <c r="F16" s="38">
        <v>4.0999999999999996</v>
      </c>
      <c r="G16" s="39">
        <v>0</v>
      </c>
      <c r="H16" s="38">
        <f t="shared" si="0"/>
        <v>0</v>
      </c>
      <c r="I16" s="38">
        <f t="shared" si="1"/>
        <v>0</v>
      </c>
      <c r="J16" s="38">
        <f t="shared" si="2"/>
        <v>0</v>
      </c>
      <c r="K16" s="40" t="s">
        <v>60</v>
      </c>
      <c r="Z16" s="38">
        <f t="shared" si="3"/>
        <v>0</v>
      </c>
      <c r="AB16" s="38">
        <f t="shared" si="4"/>
        <v>0</v>
      </c>
      <c r="AC16" s="38">
        <f t="shared" si="5"/>
        <v>0</v>
      </c>
      <c r="AD16" s="38">
        <f t="shared" si="6"/>
        <v>0</v>
      </c>
      <c r="AE16" s="38">
        <f t="shared" si="7"/>
        <v>0</v>
      </c>
      <c r="AF16" s="38">
        <f t="shared" si="8"/>
        <v>0</v>
      </c>
      <c r="AG16" s="38">
        <f t="shared" si="9"/>
        <v>0</v>
      </c>
      <c r="AH16" s="38">
        <f t="shared" si="10"/>
        <v>0</v>
      </c>
      <c r="AI16" s="29" t="s">
        <v>55</v>
      </c>
      <c r="AJ16" s="38">
        <f t="shared" si="11"/>
        <v>0</v>
      </c>
      <c r="AK16" s="38">
        <f t="shared" si="12"/>
        <v>0</v>
      </c>
      <c r="AL16" s="38">
        <f t="shared" si="13"/>
        <v>0</v>
      </c>
      <c r="AN16" s="38">
        <v>0</v>
      </c>
      <c r="AO16" s="38">
        <f>G16*0.436326531</f>
        <v>0</v>
      </c>
      <c r="AP16" s="38">
        <f>G16*(1-0.436326531)</f>
        <v>0</v>
      </c>
      <c r="AQ16" s="41" t="s">
        <v>61</v>
      </c>
      <c r="AV16" s="38">
        <f t="shared" si="14"/>
        <v>0</v>
      </c>
      <c r="AW16" s="38">
        <f t="shared" si="15"/>
        <v>0</v>
      </c>
      <c r="AX16" s="38">
        <f t="shared" si="16"/>
        <v>0</v>
      </c>
      <c r="AY16" s="41" t="s">
        <v>62</v>
      </c>
      <c r="AZ16" s="41" t="s">
        <v>63</v>
      </c>
      <c r="BA16" s="29" t="s">
        <v>64</v>
      </c>
      <c r="BC16" s="38">
        <f t="shared" si="17"/>
        <v>0</v>
      </c>
      <c r="BD16" s="38">
        <f t="shared" si="18"/>
        <v>0</v>
      </c>
      <c r="BE16" s="38">
        <v>0</v>
      </c>
      <c r="BF16" s="38">
        <f>16</f>
        <v>16</v>
      </c>
      <c r="BH16" s="38">
        <f t="shared" si="19"/>
        <v>0</v>
      </c>
      <c r="BI16" s="38">
        <f t="shared" si="20"/>
        <v>0</v>
      </c>
      <c r="BJ16" s="38">
        <f t="shared" si="21"/>
        <v>0</v>
      </c>
      <c r="BK16" s="41" t="s">
        <v>65</v>
      </c>
      <c r="BL16" s="38">
        <v>713</v>
      </c>
      <c r="BW16" s="38">
        <v>0</v>
      </c>
      <c r="BX16" s="26" t="s">
        <v>72</v>
      </c>
    </row>
    <row r="17" spans="1:76" ht="14.4" x14ac:dyDescent="0.3">
      <c r="A17" s="17" t="s">
        <v>73</v>
      </c>
      <c r="B17" s="18" t="s">
        <v>74</v>
      </c>
      <c r="C17" s="61" t="s">
        <v>75</v>
      </c>
      <c r="D17" s="58"/>
      <c r="E17" s="18" t="s">
        <v>69</v>
      </c>
      <c r="F17" s="38">
        <v>4.4000000000000004</v>
      </c>
      <c r="G17" s="39">
        <v>0</v>
      </c>
      <c r="H17" s="38">
        <f t="shared" si="0"/>
        <v>0</v>
      </c>
      <c r="I17" s="38">
        <f t="shared" si="1"/>
        <v>0</v>
      </c>
      <c r="J17" s="38">
        <f t="shared" si="2"/>
        <v>0</v>
      </c>
      <c r="K17" s="40" t="s">
        <v>60</v>
      </c>
      <c r="Z17" s="38">
        <f t="shared" si="3"/>
        <v>0</v>
      </c>
      <c r="AB17" s="38">
        <f t="shared" si="4"/>
        <v>0</v>
      </c>
      <c r="AC17" s="38">
        <f t="shared" si="5"/>
        <v>0</v>
      </c>
      <c r="AD17" s="38">
        <f t="shared" si="6"/>
        <v>0</v>
      </c>
      <c r="AE17" s="38">
        <f t="shared" si="7"/>
        <v>0</v>
      </c>
      <c r="AF17" s="38">
        <f t="shared" si="8"/>
        <v>0</v>
      </c>
      <c r="AG17" s="38">
        <f t="shared" si="9"/>
        <v>0</v>
      </c>
      <c r="AH17" s="38">
        <f t="shared" si="10"/>
        <v>0</v>
      </c>
      <c r="AI17" s="29" t="s">
        <v>55</v>
      </c>
      <c r="AJ17" s="38">
        <f t="shared" si="11"/>
        <v>0</v>
      </c>
      <c r="AK17" s="38">
        <f t="shared" si="12"/>
        <v>0</v>
      </c>
      <c r="AL17" s="38">
        <f t="shared" si="13"/>
        <v>0</v>
      </c>
      <c r="AN17" s="38">
        <v>0</v>
      </c>
      <c r="AO17" s="38">
        <f>G17*0.427781827</f>
        <v>0</v>
      </c>
      <c r="AP17" s="38">
        <f>G17*(1-0.427781827)</f>
        <v>0</v>
      </c>
      <c r="AQ17" s="41" t="s">
        <v>61</v>
      </c>
      <c r="AV17" s="38">
        <f t="shared" si="14"/>
        <v>0</v>
      </c>
      <c r="AW17" s="38">
        <f t="shared" si="15"/>
        <v>0</v>
      </c>
      <c r="AX17" s="38">
        <f t="shared" si="16"/>
        <v>0</v>
      </c>
      <c r="AY17" s="41" t="s">
        <v>62</v>
      </c>
      <c r="AZ17" s="41" t="s">
        <v>63</v>
      </c>
      <c r="BA17" s="29" t="s">
        <v>64</v>
      </c>
      <c r="BC17" s="38">
        <f t="shared" si="17"/>
        <v>0</v>
      </c>
      <c r="BD17" s="38">
        <f t="shared" si="18"/>
        <v>0</v>
      </c>
      <c r="BE17" s="38">
        <v>0</v>
      </c>
      <c r="BF17" s="38">
        <f>17</f>
        <v>17</v>
      </c>
      <c r="BH17" s="38">
        <f t="shared" si="19"/>
        <v>0</v>
      </c>
      <c r="BI17" s="38">
        <f t="shared" si="20"/>
        <v>0</v>
      </c>
      <c r="BJ17" s="38">
        <f t="shared" si="21"/>
        <v>0</v>
      </c>
      <c r="BK17" s="41" t="s">
        <v>65</v>
      </c>
      <c r="BL17" s="38">
        <v>713</v>
      </c>
      <c r="BW17" s="38">
        <v>0</v>
      </c>
      <c r="BX17" s="26" t="s">
        <v>75</v>
      </c>
    </row>
    <row r="18" spans="1:76" ht="14.4" x14ac:dyDescent="0.3">
      <c r="A18" s="17" t="s">
        <v>76</v>
      </c>
      <c r="B18" s="18" t="s">
        <v>77</v>
      </c>
      <c r="C18" s="61" t="s">
        <v>78</v>
      </c>
      <c r="D18" s="58"/>
      <c r="E18" s="18" t="s">
        <v>69</v>
      </c>
      <c r="F18" s="38">
        <v>14</v>
      </c>
      <c r="G18" s="39">
        <v>0</v>
      </c>
      <c r="H18" s="38">
        <f t="shared" si="0"/>
        <v>0</v>
      </c>
      <c r="I18" s="38">
        <f t="shared" si="1"/>
        <v>0</v>
      </c>
      <c r="J18" s="38">
        <f t="shared" si="2"/>
        <v>0</v>
      </c>
      <c r="K18" s="40" t="s">
        <v>60</v>
      </c>
      <c r="Z18" s="38">
        <f t="shared" si="3"/>
        <v>0</v>
      </c>
      <c r="AB18" s="38">
        <f t="shared" si="4"/>
        <v>0</v>
      </c>
      <c r="AC18" s="38">
        <f t="shared" si="5"/>
        <v>0</v>
      </c>
      <c r="AD18" s="38">
        <f t="shared" si="6"/>
        <v>0</v>
      </c>
      <c r="AE18" s="38">
        <f t="shared" si="7"/>
        <v>0</v>
      </c>
      <c r="AF18" s="38">
        <f t="shared" si="8"/>
        <v>0</v>
      </c>
      <c r="AG18" s="38">
        <f t="shared" si="9"/>
        <v>0</v>
      </c>
      <c r="AH18" s="38">
        <f t="shared" si="10"/>
        <v>0</v>
      </c>
      <c r="AI18" s="29" t="s">
        <v>55</v>
      </c>
      <c r="AJ18" s="38">
        <f t="shared" si="11"/>
        <v>0</v>
      </c>
      <c r="AK18" s="38">
        <f t="shared" si="12"/>
        <v>0</v>
      </c>
      <c r="AL18" s="38">
        <f t="shared" si="13"/>
        <v>0</v>
      </c>
      <c r="AN18" s="38">
        <v>0</v>
      </c>
      <c r="AO18" s="38">
        <f>G18*0.431279621</f>
        <v>0</v>
      </c>
      <c r="AP18" s="38">
        <f>G18*(1-0.431279621)</f>
        <v>0</v>
      </c>
      <c r="AQ18" s="41" t="s">
        <v>61</v>
      </c>
      <c r="AV18" s="38">
        <f t="shared" si="14"/>
        <v>0</v>
      </c>
      <c r="AW18" s="38">
        <f t="shared" si="15"/>
        <v>0</v>
      </c>
      <c r="AX18" s="38">
        <f t="shared" si="16"/>
        <v>0</v>
      </c>
      <c r="AY18" s="41" t="s">
        <v>62</v>
      </c>
      <c r="AZ18" s="41" t="s">
        <v>63</v>
      </c>
      <c r="BA18" s="29" t="s">
        <v>64</v>
      </c>
      <c r="BC18" s="38">
        <f t="shared" si="17"/>
        <v>0</v>
      </c>
      <c r="BD18" s="38">
        <f t="shared" si="18"/>
        <v>0</v>
      </c>
      <c r="BE18" s="38">
        <v>0</v>
      </c>
      <c r="BF18" s="38">
        <f>18</f>
        <v>18</v>
      </c>
      <c r="BH18" s="38">
        <f t="shared" si="19"/>
        <v>0</v>
      </c>
      <c r="BI18" s="38">
        <f t="shared" si="20"/>
        <v>0</v>
      </c>
      <c r="BJ18" s="38">
        <f t="shared" si="21"/>
        <v>0</v>
      </c>
      <c r="BK18" s="41" t="s">
        <v>65</v>
      </c>
      <c r="BL18" s="38">
        <v>713</v>
      </c>
      <c r="BW18" s="38">
        <v>0</v>
      </c>
      <c r="BX18" s="26" t="s">
        <v>78</v>
      </c>
    </row>
    <row r="19" spans="1:76" ht="14.4" x14ac:dyDescent="0.3">
      <c r="A19" s="17" t="s">
        <v>79</v>
      </c>
      <c r="B19" s="18" t="s">
        <v>80</v>
      </c>
      <c r="C19" s="61" t="s">
        <v>81</v>
      </c>
      <c r="D19" s="58"/>
      <c r="E19" s="18" t="s">
        <v>69</v>
      </c>
      <c r="F19" s="38">
        <v>21.1</v>
      </c>
      <c r="G19" s="39">
        <v>0</v>
      </c>
      <c r="H19" s="38">
        <f t="shared" si="0"/>
        <v>0</v>
      </c>
      <c r="I19" s="38">
        <f t="shared" si="1"/>
        <v>0</v>
      </c>
      <c r="J19" s="38">
        <f t="shared" si="2"/>
        <v>0</v>
      </c>
      <c r="K19" s="40" t="s">
        <v>60</v>
      </c>
      <c r="Z19" s="38">
        <f t="shared" si="3"/>
        <v>0</v>
      </c>
      <c r="AB19" s="38">
        <f t="shared" si="4"/>
        <v>0</v>
      </c>
      <c r="AC19" s="38">
        <f t="shared" si="5"/>
        <v>0</v>
      </c>
      <c r="AD19" s="38">
        <f t="shared" si="6"/>
        <v>0</v>
      </c>
      <c r="AE19" s="38">
        <f t="shared" si="7"/>
        <v>0</v>
      </c>
      <c r="AF19" s="38">
        <f t="shared" si="8"/>
        <v>0</v>
      </c>
      <c r="AG19" s="38">
        <f t="shared" si="9"/>
        <v>0</v>
      </c>
      <c r="AH19" s="38">
        <f t="shared" si="10"/>
        <v>0</v>
      </c>
      <c r="AI19" s="29" t="s">
        <v>55</v>
      </c>
      <c r="AJ19" s="38">
        <f t="shared" si="11"/>
        <v>0</v>
      </c>
      <c r="AK19" s="38">
        <f t="shared" si="12"/>
        <v>0</v>
      </c>
      <c r="AL19" s="38">
        <f t="shared" si="13"/>
        <v>0</v>
      </c>
      <c r="AN19" s="38">
        <v>0</v>
      </c>
      <c r="AO19" s="38">
        <f>G19*0.415363693</f>
        <v>0</v>
      </c>
      <c r="AP19" s="38">
        <f>G19*(1-0.415363693)</f>
        <v>0</v>
      </c>
      <c r="AQ19" s="41" t="s">
        <v>61</v>
      </c>
      <c r="AV19" s="38">
        <f t="shared" si="14"/>
        <v>0</v>
      </c>
      <c r="AW19" s="38">
        <f t="shared" si="15"/>
        <v>0</v>
      </c>
      <c r="AX19" s="38">
        <f t="shared" si="16"/>
        <v>0</v>
      </c>
      <c r="AY19" s="41" t="s">
        <v>62</v>
      </c>
      <c r="AZ19" s="41" t="s">
        <v>63</v>
      </c>
      <c r="BA19" s="29" t="s">
        <v>64</v>
      </c>
      <c r="BC19" s="38">
        <f t="shared" si="17"/>
        <v>0</v>
      </c>
      <c r="BD19" s="38">
        <f t="shared" si="18"/>
        <v>0</v>
      </c>
      <c r="BE19" s="38">
        <v>0</v>
      </c>
      <c r="BF19" s="38">
        <f>19</f>
        <v>19</v>
      </c>
      <c r="BH19" s="38">
        <f t="shared" si="19"/>
        <v>0</v>
      </c>
      <c r="BI19" s="38">
        <f t="shared" si="20"/>
        <v>0</v>
      </c>
      <c r="BJ19" s="38">
        <f t="shared" si="21"/>
        <v>0</v>
      </c>
      <c r="BK19" s="41" t="s">
        <v>65</v>
      </c>
      <c r="BL19" s="38">
        <v>713</v>
      </c>
      <c r="BW19" s="38">
        <v>0</v>
      </c>
      <c r="BX19" s="26" t="s">
        <v>81</v>
      </c>
    </row>
    <row r="20" spans="1:76" ht="14.4" x14ac:dyDescent="0.3">
      <c r="A20" s="17" t="s">
        <v>61</v>
      </c>
      <c r="B20" s="18" t="s">
        <v>82</v>
      </c>
      <c r="C20" s="61" t="s">
        <v>83</v>
      </c>
      <c r="D20" s="58"/>
      <c r="E20" s="18" t="s">
        <v>69</v>
      </c>
      <c r="F20" s="38">
        <v>15.7</v>
      </c>
      <c r="G20" s="39">
        <v>0</v>
      </c>
      <c r="H20" s="38">
        <f t="shared" si="0"/>
        <v>0</v>
      </c>
      <c r="I20" s="38">
        <f t="shared" si="1"/>
        <v>0</v>
      </c>
      <c r="J20" s="38">
        <f t="shared" si="2"/>
        <v>0</v>
      </c>
      <c r="K20" s="40" t="s">
        <v>60</v>
      </c>
      <c r="Z20" s="38">
        <f t="shared" si="3"/>
        <v>0</v>
      </c>
      <c r="AB20" s="38">
        <f t="shared" si="4"/>
        <v>0</v>
      </c>
      <c r="AC20" s="38">
        <f t="shared" si="5"/>
        <v>0</v>
      </c>
      <c r="AD20" s="38">
        <f t="shared" si="6"/>
        <v>0</v>
      </c>
      <c r="AE20" s="38">
        <f t="shared" si="7"/>
        <v>0</v>
      </c>
      <c r="AF20" s="38">
        <f t="shared" si="8"/>
        <v>0</v>
      </c>
      <c r="AG20" s="38">
        <f t="shared" si="9"/>
        <v>0</v>
      </c>
      <c r="AH20" s="38">
        <f t="shared" si="10"/>
        <v>0</v>
      </c>
      <c r="AI20" s="29" t="s">
        <v>55</v>
      </c>
      <c r="AJ20" s="38">
        <f t="shared" si="11"/>
        <v>0</v>
      </c>
      <c r="AK20" s="38">
        <f t="shared" si="12"/>
        <v>0</v>
      </c>
      <c r="AL20" s="38">
        <f t="shared" si="13"/>
        <v>0</v>
      </c>
      <c r="AN20" s="38">
        <v>0</v>
      </c>
      <c r="AO20" s="38">
        <f>G20*0.411512571</f>
        <v>0</v>
      </c>
      <c r="AP20" s="38">
        <f>G20*(1-0.411512571)</f>
        <v>0</v>
      </c>
      <c r="AQ20" s="41" t="s">
        <v>61</v>
      </c>
      <c r="AV20" s="38">
        <f t="shared" si="14"/>
        <v>0</v>
      </c>
      <c r="AW20" s="38">
        <f t="shared" si="15"/>
        <v>0</v>
      </c>
      <c r="AX20" s="38">
        <f t="shared" si="16"/>
        <v>0</v>
      </c>
      <c r="AY20" s="41" t="s">
        <v>62</v>
      </c>
      <c r="AZ20" s="41" t="s">
        <v>63</v>
      </c>
      <c r="BA20" s="29" t="s">
        <v>64</v>
      </c>
      <c r="BC20" s="38">
        <f t="shared" si="17"/>
        <v>0</v>
      </c>
      <c r="BD20" s="38">
        <f t="shared" si="18"/>
        <v>0</v>
      </c>
      <c r="BE20" s="38">
        <v>0</v>
      </c>
      <c r="BF20" s="38">
        <f>20</f>
        <v>20</v>
      </c>
      <c r="BH20" s="38">
        <f t="shared" si="19"/>
        <v>0</v>
      </c>
      <c r="BI20" s="38">
        <f t="shared" si="20"/>
        <v>0</v>
      </c>
      <c r="BJ20" s="38">
        <f t="shared" si="21"/>
        <v>0</v>
      </c>
      <c r="BK20" s="41" t="s">
        <v>65</v>
      </c>
      <c r="BL20" s="38">
        <v>713</v>
      </c>
      <c r="BW20" s="38">
        <v>0</v>
      </c>
      <c r="BX20" s="26" t="s">
        <v>83</v>
      </c>
    </row>
    <row r="21" spans="1:76" ht="14.4" x14ac:dyDescent="0.3">
      <c r="A21" s="17" t="s">
        <v>84</v>
      </c>
      <c r="B21" s="18" t="s">
        <v>85</v>
      </c>
      <c r="C21" s="61" t="s">
        <v>86</v>
      </c>
      <c r="D21" s="58"/>
      <c r="E21" s="18" t="s">
        <v>69</v>
      </c>
      <c r="F21" s="38">
        <v>21.7</v>
      </c>
      <c r="G21" s="39">
        <v>0</v>
      </c>
      <c r="H21" s="38">
        <f t="shared" si="0"/>
        <v>0</v>
      </c>
      <c r="I21" s="38">
        <f t="shared" si="1"/>
        <v>0</v>
      </c>
      <c r="J21" s="38">
        <f t="shared" si="2"/>
        <v>0</v>
      </c>
      <c r="K21" s="40" t="s">
        <v>60</v>
      </c>
      <c r="Z21" s="38">
        <f t="shared" si="3"/>
        <v>0</v>
      </c>
      <c r="AB21" s="38">
        <f t="shared" si="4"/>
        <v>0</v>
      </c>
      <c r="AC21" s="38">
        <f t="shared" si="5"/>
        <v>0</v>
      </c>
      <c r="AD21" s="38">
        <f t="shared" si="6"/>
        <v>0</v>
      </c>
      <c r="AE21" s="38">
        <f t="shared" si="7"/>
        <v>0</v>
      </c>
      <c r="AF21" s="38">
        <f t="shared" si="8"/>
        <v>0</v>
      </c>
      <c r="AG21" s="38">
        <f t="shared" si="9"/>
        <v>0</v>
      </c>
      <c r="AH21" s="38">
        <f t="shared" si="10"/>
        <v>0</v>
      </c>
      <c r="AI21" s="29" t="s">
        <v>55</v>
      </c>
      <c r="AJ21" s="38">
        <f t="shared" si="11"/>
        <v>0</v>
      </c>
      <c r="AK21" s="38">
        <f t="shared" si="12"/>
        <v>0</v>
      </c>
      <c r="AL21" s="38">
        <f t="shared" si="13"/>
        <v>0</v>
      </c>
      <c r="AN21" s="38">
        <v>0</v>
      </c>
      <c r="AO21" s="38">
        <f>G21*0.37471872</f>
        <v>0</v>
      </c>
      <c r="AP21" s="38">
        <f>G21*(1-0.37471872)</f>
        <v>0</v>
      </c>
      <c r="AQ21" s="41" t="s">
        <v>61</v>
      </c>
      <c r="AV21" s="38">
        <f t="shared" si="14"/>
        <v>0</v>
      </c>
      <c r="AW21" s="38">
        <f t="shared" si="15"/>
        <v>0</v>
      </c>
      <c r="AX21" s="38">
        <f t="shared" si="16"/>
        <v>0</v>
      </c>
      <c r="AY21" s="41" t="s">
        <v>62</v>
      </c>
      <c r="AZ21" s="41" t="s">
        <v>63</v>
      </c>
      <c r="BA21" s="29" t="s">
        <v>64</v>
      </c>
      <c r="BC21" s="38">
        <f t="shared" si="17"/>
        <v>0</v>
      </c>
      <c r="BD21" s="38">
        <f t="shared" si="18"/>
        <v>0</v>
      </c>
      <c r="BE21" s="38">
        <v>0</v>
      </c>
      <c r="BF21" s="38">
        <f>21</f>
        <v>21</v>
      </c>
      <c r="BH21" s="38">
        <f t="shared" si="19"/>
        <v>0</v>
      </c>
      <c r="BI21" s="38">
        <f t="shared" si="20"/>
        <v>0</v>
      </c>
      <c r="BJ21" s="38">
        <f t="shared" si="21"/>
        <v>0</v>
      </c>
      <c r="BK21" s="41" t="s">
        <v>65</v>
      </c>
      <c r="BL21" s="38">
        <v>713</v>
      </c>
      <c r="BW21" s="38">
        <v>0</v>
      </c>
      <c r="BX21" s="26" t="s">
        <v>86</v>
      </c>
    </row>
    <row r="22" spans="1:76" ht="26.4" x14ac:dyDescent="0.3">
      <c r="A22" s="17" t="s">
        <v>87</v>
      </c>
      <c r="B22" s="18" t="s">
        <v>88</v>
      </c>
      <c r="C22" s="61" t="s">
        <v>89</v>
      </c>
      <c r="D22" s="58"/>
      <c r="E22" s="18" t="s">
        <v>69</v>
      </c>
      <c r="F22" s="38">
        <v>32.9</v>
      </c>
      <c r="G22" s="39">
        <v>0</v>
      </c>
      <c r="H22" s="38">
        <f t="shared" si="0"/>
        <v>0</v>
      </c>
      <c r="I22" s="38">
        <f t="shared" si="1"/>
        <v>0</v>
      </c>
      <c r="J22" s="38">
        <f t="shared" si="2"/>
        <v>0</v>
      </c>
      <c r="K22" s="40" t="s">
        <v>60</v>
      </c>
      <c r="Z22" s="38">
        <f t="shared" si="3"/>
        <v>0</v>
      </c>
      <c r="AB22" s="38">
        <f t="shared" si="4"/>
        <v>0</v>
      </c>
      <c r="AC22" s="38">
        <f t="shared" si="5"/>
        <v>0</v>
      </c>
      <c r="AD22" s="38">
        <f t="shared" si="6"/>
        <v>0</v>
      </c>
      <c r="AE22" s="38">
        <f t="shared" si="7"/>
        <v>0</v>
      </c>
      <c r="AF22" s="38">
        <f t="shared" si="8"/>
        <v>0</v>
      </c>
      <c r="AG22" s="38">
        <f t="shared" si="9"/>
        <v>0</v>
      </c>
      <c r="AH22" s="38">
        <f t="shared" si="10"/>
        <v>0</v>
      </c>
      <c r="AI22" s="29" t="s">
        <v>55</v>
      </c>
      <c r="AJ22" s="38">
        <f t="shared" si="11"/>
        <v>0</v>
      </c>
      <c r="AK22" s="38">
        <f t="shared" si="12"/>
        <v>0</v>
      </c>
      <c r="AL22" s="38">
        <f t="shared" si="13"/>
        <v>0</v>
      </c>
      <c r="AN22" s="38">
        <v>0</v>
      </c>
      <c r="AO22" s="38">
        <f t="shared" ref="AO22:AO28" si="22">G22*1</f>
        <v>0</v>
      </c>
      <c r="AP22" s="38">
        <f t="shared" ref="AP22:AP28" si="23">G22*(1-1)</f>
        <v>0</v>
      </c>
      <c r="AQ22" s="41" t="s">
        <v>61</v>
      </c>
      <c r="AV22" s="38">
        <f t="shared" si="14"/>
        <v>0</v>
      </c>
      <c r="AW22" s="38">
        <f t="shared" si="15"/>
        <v>0</v>
      </c>
      <c r="AX22" s="38">
        <f t="shared" si="16"/>
        <v>0</v>
      </c>
      <c r="AY22" s="41" t="s">
        <v>62</v>
      </c>
      <c r="AZ22" s="41" t="s">
        <v>63</v>
      </c>
      <c r="BA22" s="29" t="s">
        <v>64</v>
      </c>
      <c r="BC22" s="38">
        <f t="shared" si="17"/>
        <v>0</v>
      </c>
      <c r="BD22" s="38">
        <f t="shared" si="18"/>
        <v>0</v>
      </c>
      <c r="BE22" s="38">
        <v>0</v>
      </c>
      <c r="BF22" s="38">
        <f>22</f>
        <v>22</v>
      </c>
      <c r="BH22" s="38">
        <f t="shared" si="19"/>
        <v>0</v>
      </c>
      <c r="BI22" s="38">
        <f t="shared" si="20"/>
        <v>0</v>
      </c>
      <c r="BJ22" s="38">
        <f t="shared" si="21"/>
        <v>0</v>
      </c>
      <c r="BK22" s="41" t="s">
        <v>90</v>
      </c>
      <c r="BL22" s="38">
        <v>713</v>
      </c>
      <c r="BW22" s="38">
        <v>0</v>
      </c>
      <c r="BX22" s="26" t="s">
        <v>89</v>
      </c>
    </row>
    <row r="23" spans="1:76" ht="26.4" x14ac:dyDescent="0.3">
      <c r="A23" s="17" t="s">
        <v>91</v>
      </c>
      <c r="B23" s="18" t="s">
        <v>92</v>
      </c>
      <c r="C23" s="61" t="s">
        <v>93</v>
      </c>
      <c r="D23" s="58"/>
      <c r="E23" s="18" t="s">
        <v>69</v>
      </c>
      <c r="F23" s="38">
        <v>4.2</v>
      </c>
      <c r="G23" s="39">
        <v>0</v>
      </c>
      <c r="H23" s="38">
        <f t="shared" si="0"/>
        <v>0</v>
      </c>
      <c r="I23" s="38">
        <f t="shared" si="1"/>
        <v>0</v>
      </c>
      <c r="J23" s="38">
        <f t="shared" si="2"/>
        <v>0</v>
      </c>
      <c r="K23" s="40" t="s">
        <v>60</v>
      </c>
      <c r="Z23" s="38">
        <f t="shared" si="3"/>
        <v>0</v>
      </c>
      <c r="AB23" s="38">
        <f t="shared" si="4"/>
        <v>0</v>
      </c>
      <c r="AC23" s="38">
        <f t="shared" si="5"/>
        <v>0</v>
      </c>
      <c r="AD23" s="38">
        <f t="shared" si="6"/>
        <v>0</v>
      </c>
      <c r="AE23" s="38">
        <f t="shared" si="7"/>
        <v>0</v>
      </c>
      <c r="AF23" s="38">
        <f t="shared" si="8"/>
        <v>0</v>
      </c>
      <c r="AG23" s="38">
        <f t="shared" si="9"/>
        <v>0</v>
      </c>
      <c r="AH23" s="38">
        <f t="shared" si="10"/>
        <v>0</v>
      </c>
      <c r="AI23" s="29" t="s">
        <v>55</v>
      </c>
      <c r="AJ23" s="38">
        <f t="shared" si="11"/>
        <v>0</v>
      </c>
      <c r="AK23" s="38">
        <f t="shared" si="12"/>
        <v>0</v>
      </c>
      <c r="AL23" s="38">
        <f t="shared" si="13"/>
        <v>0</v>
      </c>
      <c r="AN23" s="38">
        <v>0</v>
      </c>
      <c r="AO23" s="38">
        <f t="shared" si="22"/>
        <v>0</v>
      </c>
      <c r="AP23" s="38">
        <f t="shared" si="23"/>
        <v>0</v>
      </c>
      <c r="AQ23" s="41" t="s">
        <v>61</v>
      </c>
      <c r="AV23" s="38">
        <f t="shared" si="14"/>
        <v>0</v>
      </c>
      <c r="AW23" s="38">
        <f t="shared" si="15"/>
        <v>0</v>
      </c>
      <c r="AX23" s="38">
        <f t="shared" si="16"/>
        <v>0</v>
      </c>
      <c r="AY23" s="41" t="s">
        <v>62</v>
      </c>
      <c r="AZ23" s="41" t="s">
        <v>63</v>
      </c>
      <c r="BA23" s="29" t="s">
        <v>64</v>
      </c>
      <c r="BC23" s="38">
        <f t="shared" si="17"/>
        <v>0</v>
      </c>
      <c r="BD23" s="38">
        <f t="shared" si="18"/>
        <v>0</v>
      </c>
      <c r="BE23" s="38">
        <v>0</v>
      </c>
      <c r="BF23" s="38">
        <f>23</f>
        <v>23</v>
      </c>
      <c r="BH23" s="38">
        <f t="shared" si="19"/>
        <v>0</v>
      </c>
      <c r="BI23" s="38">
        <f t="shared" si="20"/>
        <v>0</v>
      </c>
      <c r="BJ23" s="38">
        <f t="shared" si="21"/>
        <v>0</v>
      </c>
      <c r="BK23" s="41" t="s">
        <v>90</v>
      </c>
      <c r="BL23" s="38">
        <v>713</v>
      </c>
      <c r="BW23" s="38">
        <v>0</v>
      </c>
      <c r="BX23" s="26" t="s">
        <v>93</v>
      </c>
    </row>
    <row r="24" spans="1:76" ht="26.4" x14ac:dyDescent="0.3">
      <c r="A24" s="17" t="s">
        <v>94</v>
      </c>
      <c r="B24" s="18" t="s">
        <v>95</v>
      </c>
      <c r="C24" s="61" t="s">
        <v>96</v>
      </c>
      <c r="D24" s="58"/>
      <c r="E24" s="18" t="s">
        <v>69</v>
      </c>
      <c r="F24" s="38">
        <v>86</v>
      </c>
      <c r="G24" s="39">
        <v>0</v>
      </c>
      <c r="H24" s="38">
        <f t="shared" si="0"/>
        <v>0</v>
      </c>
      <c r="I24" s="38">
        <f t="shared" si="1"/>
        <v>0</v>
      </c>
      <c r="J24" s="38">
        <f t="shared" si="2"/>
        <v>0</v>
      </c>
      <c r="K24" s="40" t="s">
        <v>60</v>
      </c>
      <c r="Z24" s="38">
        <f t="shared" si="3"/>
        <v>0</v>
      </c>
      <c r="AB24" s="38">
        <f t="shared" si="4"/>
        <v>0</v>
      </c>
      <c r="AC24" s="38">
        <f t="shared" si="5"/>
        <v>0</v>
      </c>
      <c r="AD24" s="38">
        <f t="shared" si="6"/>
        <v>0</v>
      </c>
      <c r="AE24" s="38">
        <f t="shared" si="7"/>
        <v>0</v>
      </c>
      <c r="AF24" s="38">
        <f t="shared" si="8"/>
        <v>0</v>
      </c>
      <c r="AG24" s="38">
        <f t="shared" si="9"/>
        <v>0</v>
      </c>
      <c r="AH24" s="38">
        <f t="shared" si="10"/>
        <v>0</v>
      </c>
      <c r="AI24" s="29" t="s">
        <v>55</v>
      </c>
      <c r="AJ24" s="38">
        <f t="shared" si="11"/>
        <v>0</v>
      </c>
      <c r="AK24" s="38">
        <f t="shared" si="12"/>
        <v>0</v>
      </c>
      <c r="AL24" s="38">
        <f t="shared" si="13"/>
        <v>0</v>
      </c>
      <c r="AN24" s="38">
        <v>0</v>
      </c>
      <c r="AO24" s="38">
        <f t="shared" si="22"/>
        <v>0</v>
      </c>
      <c r="AP24" s="38">
        <f t="shared" si="23"/>
        <v>0</v>
      </c>
      <c r="AQ24" s="41" t="s">
        <v>61</v>
      </c>
      <c r="AV24" s="38">
        <f t="shared" si="14"/>
        <v>0</v>
      </c>
      <c r="AW24" s="38">
        <f t="shared" si="15"/>
        <v>0</v>
      </c>
      <c r="AX24" s="38">
        <f t="shared" si="16"/>
        <v>0</v>
      </c>
      <c r="AY24" s="41" t="s">
        <v>62</v>
      </c>
      <c r="AZ24" s="41" t="s">
        <v>63</v>
      </c>
      <c r="BA24" s="29" t="s">
        <v>64</v>
      </c>
      <c r="BC24" s="38">
        <f t="shared" si="17"/>
        <v>0</v>
      </c>
      <c r="BD24" s="38">
        <f t="shared" si="18"/>
        <v>0</v>
      </c>
      <c r="BE24" s="38">
        <v>0</v>
      </c>
      <c r="BF24" s="38">
        <f>24</f>
        <v>24</v>
      </c>
      <c r="BH24" s="38">
        <f t="shared" si="19"/>
        <v>0</v>
      </c>
      <c r="BI24" s="38">
        <f t="shared" si="20"/>
        <v>0</v>
      </c>
      <c r="BJ24" s="38">
        <f t="shared" si="21"/>
        <v>0</v>
      </c>
      <c r="BK24" s="41" t="s">
        <v>90</v>
      </c>
      <c r="BL24" s="38">
        <v>713</v>
      </c>
      <c r="BW24" s="38">
        <v>0</v>
      </c>
      <c r="BX24" s="26" t="s">
        <v>96</v>
      </c>
    </row>
    <row r="25" spans="1:76" ht="26.4" x14ac:dyDescent="0.3">
      <c r="A25" s="17" t="s">
        <v>97</v>
      </c>
      <c r="B25" s="18" t="s">
        <v>98</v>
      </c>
      <c r="C25" s="61" t="s">
        <v>99</v>
      </c>
      <c r="D25" s="58"/>
      <c r="E25" s="18" t="s">
        <v>69</v>
      </c>
      <c r="F25" s="38">
        <v>18.100000000000001</v>
      </c>
      <c r="G25" s="39">
        <v>0</v>
      </c>
      <c r="H25" s="38">
        <f t="shared" si="0"/>
        <v>0</v>
      </c>
      <c r="I25" s="38">
        <f t="shared" si="1"/>
        <v>0</v>
      </c>
      <c r="J25" s="38">
        <f t="shared" si="2"/>
        <v>0</v>
      </c>
      <c r="K25" s="40" t="s">
        <v>60</v>
      </c>
      <c r="Z25" s="38">
        <f t="shared" si="3"/>
        <v>0</v>
      </c>
      <c r="AB25" s="38">
        <f t="shared" si="4"/>
        <v>0</v>
      </c>
      <c r="AC25" s="38">
        <f t="shared" si="5"/>
        <v>0</v>
      </c>
      <c r="AD25" s="38">
        <f t="shared" si="6"/>
        <v>0</v>
      </c>
      <c r="AE25" s="38">
        <f t="shared" si="7"/>
        <v>0</v>
      </c>
      <c r="AF25" s="38">
        <f t="shared" si="8"/>
        <v>0</v>
      </c>
      <c r="AG25" s="38">
        <f t="shared" si="9"/>
        <v>0</v>
      </c>
      <c r="AH25" s="38">
        <f t="shared" si="10"/>
        <v>0</v>
      </c>
      <c r="AI25" s="29" t="s">
        <v>55</v>
      </c>
      <c r="AJ25" s="38">
        <f t="shared" si="11"/>
        <v>0</v>
      </c>
      <c r="AK25" s="38">
        <f t="shared" si="12"/>
        <v>0</v>
      </c>
      <c r="AL25" s="38">
        <f t="shared" si="13"/>
        <v>0</v>
      </c>
      <c r="AN25" s="38">
        <v>0</v>
      </c>
      <c r="AO25" s="38">
        <f t="shared" si="22"/>
        <v>0</v>
      </c>
      <c r="AP25" s="38">
        <f t="shared" si="23"/>
        <v>0</v>
      </c>
      <c r="AQ25" s="41" t="s">
        <v>61</v>
      </c>
      <c r="AV25" s="38">
        <f t="shared" si="14"/>
        <v>0</v>
      </c>
      <c r="AW25" s="38">
        <f t="shared" si="15"/>
        <v>0</v>
      </c>
      <c r="AX25" s="38">
        <f t="shared" si="16"/>
        <v>0</v>
      </c>
      <c r="AY25" s="41" t="s">
        <v>62</v>
      </c>
      <c r="AZ25" s="41" t="s">
        <v>63</v>
      </c>
      <c r="BA25" s="29" t="s">
        <v>64</v>
      </c>
      <c r="BC25" s="38">
        <f t="shared" si="17"/>
        <v>0</v>
      </c>
      <c r="BD25" s="38">
        <f t="shared" si="18"/>
        <v>0</v>
      </c>
      <c r="BE25" s="38">
        <v>0</v>
      </c>
      <c r="BF25" s="38">
        <f>25</f>
        <v>25</v>
      </c>
      <c r="BH25" s="38">
        <f t="shared" si="19"/>
        <v>0</v>
      </c>
      <c r="BI25" s="38">
        <f t="shared" si="20"/>
        <v>0</v>
      </c>
      <c r="BJ25" s="38">
        <f t="shared" si="21"/>
        <v>0</v>
      </c>
      <c r="BK25" s="41" t="s">
        <v>90</v>
      </c>
      <c r="BL25" s="38">
        <v>713</v>
      </c>
      <c r="BW25" s="38">
        <v>0</v>
      </c>
      <c r="BX25" s="26" t="s">
        <v>99</v>
      </c>
    </row>
    <row r="26" spans="1:76" ht="26.4" x14ac:dyDescent="0.3">
      <c r="A26" s="17" t="s">
        <v>100</v>
      </c>
      <c r="B26" s="18" t="s">
        <v>101</v>
      </c>
      <c r="C26" s="61" t="s">
        <v>102</v>
      </c>
      <c r="D26" s="58"/>
      <c r="E26" s="18" t="s">
        <v>69</v>
      </c>
      <c r="F26" s="38">
        <v>37.700000000000003</v>
      </c>
      <c r="G26" s="39">
        <v>0</v>
      </c>
      <c r="H26" s="38">
        <f t="shared" si="0"/>
        <v>0</v>
      </c>
      <c r="I26" s="38">
        <f t="shared" si="1"/>
        <v>0</v>
      </c>
      <c r="J26" s="38">
        <f t="shared" si="2"/>
        <v>0</v>
      </c>
      <c r="K26" s="40" t="s">
        <v>60</v>
      </c>
      <c r="Z26" s="38">
        <f t="shared" si="3"/>
        <v>0</v>
      </c>
      <c r="AB26" s="38">
        <f t="shared" si="4"/>
        <v>0</v>
      </c>
      <c r="AC26" s="38">
        <f t="shared" si="5"/>
        <v>0</v>
      </c>
      <c r="AD26" s="38">
        <f t="shared" si="6"/>
        <v>0</v>
      </c>
      <c r="AE26" s="38">
        <f t="shared" si="7"/>
        <v>0</v>
      </c>
      <c r="AF26" s="38">
        <f t="shared" si="8"/>
        <v>0</v>
      </c>
      <c r="AG26" s="38">
        <f t="shared" si="9"/>
        <v>0</v>
      </c>
      <c r="AH26" s="38">
        <f t="shared" si="10"/>
        <v>0</v>
      </c>
      <c r="AI26" s="29" t="s">
        <v>55</v>
      </c>
      <c r="AJ26" s="38">
        <f t="shared" si="11"/>
        <v>0</v>
      </c>
      <c r="AK26" s="38">
        <f t="shared" si="12"/>
        <v>0</v>
      </c>
      <c r="AL26" s="38">
        <f t="shared" si="13"/>
        <v>0</v>
      </c>
      <c r="AN26" s="38">
        <v>0</v>
      </c>
      <c r="AO26" s="38">
        <f t="shared" si="22"/>
        <v>0</v>
      </c>
      <c r="AP26" s="38">
        <f t="shared" si="23"/>
        <v>0</v>
      </c>
      <c r="AQ26" s="41" t="s">
        <v>61</v>
      </c>
      <c r="AV26" s="38">
        <f t="shared" si="14"/>
        <v>0</v>
      </c>
      <c r="AW26" s="38">
        <f t="shared" si="15"/>
        <v>0</v>
      </c>
      <c r="AX26" s="38">
        <f t="shared" si="16"/>
        <v>0</v>
      </c>
      <c r="AY26" s="41" t="s">
        <v>62</v>
      </c>
      <c r="AZ26" s="41" t="s">
        <v>63</v>
      </c>
      <c r="BA26" s="29" t="s">
        <v>64</v>
      </c>
      <c r="BC26" s="38">
        <f t="shared" si="17"/>
        <v>0</v>
      </c>
      <c r="BD26" s="38">
        <f t="shared" si="18"/>
        <v>0</v>
      </c>
      <c r="BE26" s="38">
        <v>0</v>
      </c>
      <c r="BF26" s="38">
        <f>26</f>
        <v>26</v>
      </c>
      <c r="BH26" s="38">
        <f t="shared" si="19"/>
        <v>0</v>
      </c>
      <c r="BI26" s="38">
        <f t="shared" si="20"/>
        <v>0</v>
      </c>
      <c r="BJ26" s="38">
        <f t="shared" si="21"/>
        <v>0</v>
      </c>
      <c r="BK26" s="41" t="s">
        <v>90</v>
      </c>
      <c r="BL26" s="38">
        <v>713</v>
      </c>
      <c r="BW26" s="38">
        <v>0</v>
      </c>
      <c r="BX26" s="26" t="s">
        <v>102</v>
      </c>
    </row>
    <row r="27" spans="1:76" ht="26.4" x14ac:dyDescent="0.3">
      <c r="A27" s="17" t="s">
        <v>103</v>
      </c>
      <c r="B27" s="18" t="s">
        <v>104</v>
      </c>
      <c r="C27" s="61" t="s">
        <v>105</v>
      </c>
      <c r="D27" s="58"/>
      <c r="E27" s="18" t="s">
        <v>69</v>
      </c>
      <c r="F27" s="38">
        <v>287.8</v>
      </c>
      <c r="G27" s="39">
        <v>0</v>
      </c>
      <c r="H27" s="38">
        <f t="shared" si="0"/>
        <v>0</v>
      </c>
      <c r="I27" s="38">
        <f t="shared" si="1"/>
        <v>0</v>
      </c>
      <c r="J27" s="38">
        <f t="shared" si="2"/>
        <v>0</v>
      </c>
      <c r="K27" s="40" t="s">
        <v>60</v>
      </c>
      <c r="Z27" s="38">
        <f t="shared" si="3"/>
        <v>0</v>
      </c>
      <c r="AB27" s="38">
        <f t="shared" si="4"/>
        <v>0</v>
      </c>
      <c r="AC27" s="38">
        <f t="shared" si="5"/>
        <v>0</v>
      </c>
      <c r="AD27" s="38">
        <f t="shared" si="6"/>
        <v>0</v>
      </c>
      <c r="AE27" s="38">
        <f t="shared" si="7"/>
        <v>0</v>
      </c>
      <c r="AF27" s="38">
        <f t="shared" si="8"/>
        <v>0</v>
      </c>
      <c r="AG27" s="38">
        <f t="shared" si="9"/>
        <v>0</v>
      </c>
      <c r="AH27" s="38">
        <f t="shared" si="10"/>
        <v>0</v>
      </c>
      <c r="AI27" s="29" t="s">
        <v>55</v>
      </c>
      <c r="AJ27" s="38">
        <f t="shared" si="11"/>
        <v>0</v>
      </c>
      <c r="AK27" s="38">
        <f t="shared" si="12"/>
        <v>0</v>
      </c>
      <c r="AL27" s="38">
        <f t="shared" si="13"/>
        <v>0</v>
      </c>
      <c r="AN27" s="38">
        <v>0</v>
      </c>
      <c r="AO27" s="38">
        <f t="shared" si="22"/>
        <v>0</v>
      </c>
      <c r="AP27" s="38">
        <f t="shared" si="23"/>
        <v>0</v>
      </c>
      <c r="AQ27" s="41" t="s">
        <v>61</v>
      </c>
      <c r="AV27" s="38">
        <f t="shared" si="14"/>
        <v>0</v>
      </c>
      <c r="AW27" s="38">
        <f t="shared" si="15"/>
        <v>0</v>
      </c>
      <c r="AX27" s="38">
        <f t="shared" si="16"/>
        <v>0</v>
      </c>
      <c r="AY27" s="41" t="s">
        <v>62</v>
      </c>
      <c r="AZ27" s="41" t="s">
        <v>63</v>
      </c>
      <c r="BA27" s="29" t="s">
        <v>64</v>
      </c>
      <c r="BC27" s="38">
        <f t="shared" si="17"/>
        <v>0</v>
      </c>
      <c r="BD27" s="38">
        <f t="shared" si="18"/>
        <v>0</v>
      </c>
      <c r="BE27" s="38">
        <v>0</v>
      </c>
      <c r="BF27" s="38">
        <f>27</f>
        <v>27</v>
      </c>
      <c r="BH27" s="38">
        <f t="shared" si="19"/>
        <v>0</v>
      </c>
      <c r="BI27" s="38">
        <f t="shared" si="20"/>
        <v>0</v>
      </c>
      <c r="BJ27" s="38">
        <f t="shared" si="21"/>
        <v>0</v>
      </c>
      <c r="BK27" s="41" t="s">
        <v>90</v>
      </c>
      <c r="BL27" s="38">
        <v>713</v>
      </c>
      <c r="BW27" s="38">
        <v>0</v>
      </c>
      <c r="BX27" s="26" t="s">
        <v>105</v>
      </c>
    </row>
    <row r="28" spans="1:76" ht="26.4" x14ac:dyDescent="0.3">
      <c r="A28" s="17" t="s">
        <v>106</v>
      </c>
      <c r="B28" s="18" t="s">
        <v>107</v>
      </c>
      <c r="C28" s="61" t="s">
        <v>108</v>
      </c>
      <c r="D28" s="58"/>
      <c r="E28" s="18" t="s">
        <v>69</v>
      </c>
      <c r="F28" s="38">
        <v>283.2</v>
      </c>
      <c r="G28" s="39">
        <v>0</v>
      </c>
      <c r="H28" s="38">
        <f t="shared" si="0"/>
        <v>0</v>
      </c>
      <c r="I28" s="38">
        <f t="shared" si="1"/>
        <v>0</v>
      </c>
      <c r="J28" s="38">
        <f t="shared" si="2"/>
        <v>0</v>
      </c>
      <c r="K28" s="40" t="s">
        <v>60</v>
      </c>
      <c r="Z28" s="38">
        <f t="shared" si="3"/>
        <v>0</v>
      </c>
      <c r="AB28" s="38">
        <f t="shared" si="4"/>
        <v>0</v>
      </c>
      <c r="AC28" s="38">
        <f t="shared" si="5"/>
        <v>0</v>
      </c>
      <c r="AD28" s="38">
        <f t="shared" si="6"/>
        <v>0</v>
      </c>
      <c r="AE28" s="38">
        <f t="shared" si="7"/>
        <v>0</v>
      </c>
      <c r="AF28" s="38">
        <f t="shared" si="8"/>
        <v>0</v>
      </c>
      <c r="AG28" s="38">
        <f t="shared" si="9"/>
        <v>0</v>
      </c>
      <c r="AH28" s="38">
        <f t="shared" si="10"/>
        <v>0</v>
      </c>
      <c r="AI28" s="29" t="s">
        <v>55</v>
      </c>
      <c r="AJ28" s="38">
        <f t="shared" si="11"/>
        <v>0</v>
      </c>
      <c r="AK28" s="38">
        <f t="shared" si="12"/>
        <v>0</v>
      </c>
      <c r="AL28" s="38">
        <f t="shared" si="13"/>
        <v>0</v>
      </c>
      <c r="AN28" s="38">
        <v>0</v>
      </c>
      <c r="AO28" s="38">
        <f t="shared" si="22"/>
        <v>0</v>
      </c>
      <c r="AP28" s="38">
        <f t="shared" si="23"/>
        <v>0</v>
      </c>
      <c r="AQ28" s="41" t="s">
        <v>61</v>
      </c>
      <c r="AV28" s="38">
        <f t="shared" si="14"/>
        <v>0</v>
      </c>
      <c r="AW28" s="38">
        <f t="shared" si="15"/>
        <v>0</v>
      </c>
      <c r="AX28" s="38">
        <f t="shared" si="16"/>
        <v>0</v>
      </c>
      <c r="AY28" s="41" t="s">
        <v>62</v>
      </c>
      <c r="AZ28" s="41" t="s">
        <v>63</v>
      </c>
      <c r="BA28" s="29" t="s">
        <v>64</v>
      </c>
      <c r="BC28" s="38">
        <f t="shared" si="17"/>
        <v>0</v>
      </c>
      <c r="BD28" s="38">
        <f t="shared" si="18"/>
        <v>0</v>
      </c>
      <c r="BE28" s="38">
        <v>0</v>
      </c>
      <c r="BF28" s="38">
        <f>28</f>
        <v>28</v>
      </c>
      <c r="BH28" s="38">
        <f t="shared" si="19"/>
        <v>0</v>
      </c>
      <c r="BI28" s="38">
        <f t="shared" si="20"/>
        <v>0</v>
      </c>
      <c r="BJ28" s="38">
        <f t="shared" si="21"/>
        <v>0</v>
      </c>
      <c r="BK28" s="41" t="s">
        <v>90</v>
      </c>
      <c r="BL28" s="38">
        <v>713</v>
      </c>
      <c r="BW28" s="38">
        <v>0</v>
      </c>
      <c r="BX28" s="26" t="s">
        <v>108</v>
      </c>
    </row>
    <row r="29" spans="1:76" ht="14.4" x14ac:dyDescent="0.3">
      <c r="A29" s="17" t="s">
        <v>109</v>
      </c>
      <c r="B29" s="18" t="s">
        <v>110</v>
      </c>
      <c r="C29" s="61" t="s">
        <v>111</v>
      </c>
      <c r="D29" s="58"/>
      <c r="E29" s="18" t="s">
        <v>112</v>
      </c>
      <c r="F29" s="38">
        <v>1.5742100000000001</v>
      </c>
      <c r="G29" s="39">
        <v>0</v>
      </c>
      <c r="H29" s="38">
        <f t="shared" si="0"/>
        <v>0</v>
      </c>
      <c r="I29" s="38">
        <f t="shared" si="1"/>
        <v>0</v>
      </c>
      <c r="J29" s="38">
        <f t="shared" si="2"/>
        <v>0</v>
      </c>
      <c r="K29" s="40" t="s">
        <v>60</v>
      </c>
      <c r="Z29" s="38">
        <f t="shared" si="3"/>
        <v>0</v>
      </c>
      <c r="AB29" s="38">
        <f t="shared" si="4"/>
        <v>0</v>
      </c>
      <c r="AC29" s="38">
        <f t="shared" si="5"/>
        <v>0</v>
      </c>
      <c r="AD29" s="38">
        <f t="shared" si="6"/>
        <v>0</v>
      </c>
      <c r="AE29" s="38">
        <f t="shared" si="7"/>
        <v>0</v>
      </c>
      <c r="AF29" s="38">
        <f t="shared" si="8"/>
        <v>0</v>
      </c>
      <c r="AG29" s="38">
        <f t="shared" si="9"/>
        <v>0</v>
      </c>
      <c r="AH29" s="38">
        <f t="shared" si="10"/>
        <v>0</v>
      </c>
      <c r="AI29" s="29" t="s">
        <v>55</v>
      </c>
      <c r="AJ29" s="38">
        <f t="shared" si="11"/>
        <v>0</v>
      </c>
      <c r="AK29" s="38">
        <f t="shared" si="12"/>
        <v>0</v>
      </c>
      <c r="AL29" s="38">
        <f t="shared" si="13"/>
        <v>0</v>
      </c>
      <c r="AN29" s="38">
        <v>0</v>
      </c>
      <c r="AO29" s="38">
        <f>G29*0</f>
        <v>0</v>
      </c>
      <c r="AP29" s="38">
        <f>G29*(1-0)</f>
        <v>0</v>
      </c>
      <c r="AQ29" s="41" t="s">
        <v>76</v>
      </c>
      <c r="AV29" s="38">
        <f t="shared" si="14"/>
        <v>0</v>
      </c>
      <c r="AW29" s="38">
        <f t="shared" si="15"/>
        <v>0</v>
      </c>
      <c r="AX29" s="38">
        <f t="shared" si="16"/>
        <v>0</v>
      </c>
      <c r="AY29" s="41" t="s">
        <v>62</v>
      </c>
      <c r="AZ29" s="41" t="s">
        <v>63</v>
      </c>
      <c r="BA29" s="29" t="s">
        <v>64</v>
      </c>
      <c r="BC29" s="38">
        <f t="shared" si="17"/>
        <v>0</v>
      </c>
      <c r="BD29" s="38">
        <f t="shared" si="18"/>
        <v>0</v>
      </c>
      <c r="BE29" s="38">
        <v>0</v>
      </c>
      <c r="BF29" s="38">
        <f>29</f>
        <v>29</v>
      </c>
      <c r="BH29" s="38">
        <f t="shared" si="19"/>
        <v>0</v>
      </c>
      <c r="BI29" s="38">
        <f t="shared" si="20"/>
        <v>0</v>
      </c>
      <c r="BJ29" s="38">
        <f t="shared" si="21"/>
        <v>0</v>
      </c>
      <c r="BK29" s="41" t="s">
        <v>65</v>
      </c>
      <c r="BL29" s="38">
        <v>713</v>
      </c>
      <c r="BW29" s="38">
        <v>0</v>
      </c>
      <c r="BX29" s="26" t="s">
        <v>111</v>
      </c>
    </row>
    <row r="30" spans="1:76" ht="14.4" x14ac:dyDescent="0.3">
      <c r="A30" s="17" t="s">
        <v>113</v>
      </c>
      <c r="B30" s="18" t="s">
        <v>114</v>
      </c>
      <c r="C30" s="61" t="s">
        <v>115</v>
      </c>
      <c r="D30" s="58"/>
      <c r="E30" s="18" t="s">
        <v>112</v>
      </c>
      <c r="F30" s="38">
        <v>1.5742100000000001</v>
      </c>
      <c r="G30" s="39">
        <v>0</v>
      </c>
      <c r="H30" s="38">
        <f t="shared" si="0"/>
        <v>0</v>
      </c>
      <c r="I30" s="38">
        <f t="shared" si="1"/>
        <v>0</v>
      </c>
      <c r="J30" s="38">
        <f t="shared" si="2"/>
        <v>0</v>
      </c>
      <c r="K30" s="40" t="s">
        <v>60</v>
      </c>
      <c r="Z30" s="38">
        <f t="shared" si="3"/>
        <v>0</v>
      </c>
      <c r="AB30" s="38">
        <f t="shared" si="4"/>
        <v>0</v>
      </c>
      <c r="AC30" s="38">
        <f t="shared" si="5"/>
        <v>0</v>
      </c>
      <c r="AD30" s="38">
        <f t="shared" si="6"/>
        <v>0</v>
      </c>
      <c r="AE30" s="38">
        <f t="shared" si="7"/>
        <v>0</v>
      </c>
      <c r="AF30" s="38">
        <f t="shared" si="8"/>
        <v>0</v>
      </c>
      <c r="AG30" s="38">
        <f t="shared" si="9"/>
        <v>0</v>
      </c>
      <c r="AH30" s="38">
        <f t="shared" si="10"/>
        <v>0</v>
      </c>
      <c r="AI30" s="29" t="s">
        <v>55</v>
      </c>
      <c r="AJ30" s="38">
        <f t="shared" si="11"/>
        <v>0</v>
      </c>
      <c r="AK30" s="38">
        <f t="shared" si="12"/>
        <v>0</v>
      </c>
      <c r="AL30" s="38">
        <f t="shared" si="13"/>
        <v>0</v>
      </c>
      <c r="AN30" s="38">
        <v>0</v>
      </c>
      <c r="AO30" s="38">
        <f>G30*0</f>
        <v>0</v>
      </c>
      <c r="AP30" s="38">
        <f>G30*(1-0)</f>
        <v>0</v>
      </c>
      <c r="AQ30" s="41" t="s">
        <v>76</v>
      </c>
      <c r="AV30" s="38">
        <f t="shared" si="14"/>
        <v>0</v>
      </c>
      <c r="AW30" s="38">
        <f t="shared" si="15"/>
        <v>0</v>
      </c>
      <c r="AX30" s="38">
        <f t="shared" si="16"/>
        <v>0</v>
      </c>
      <c r="AY30" s="41" t="s">
        <v>62</v>
      </c>
      <c r="AZ30" s="41" t="s">
        <v>63</v>
      </c>
      <c r="BA30" s="29" t="s">
        <v>64</v>
      </c>
      <c r="BC30" s="38">
        <f t="shared" si="17"/>
        <v>0</v>
      </c>
      <c r="BD30" s="38">
        <f t="shared" si="18"/>
        <v>0</v>
      </c>
      <c r="BE30" s="38">
        <v>0</v>
      </c>
      <c r="BF30" s="38">
        <f>30</f>
        <v>30</v>
      </c>
      <c r="BH30" s="38">
        <f t="shared" si="19"/>
        <v>0</v>
      </c>
      <c r="BI30" s="38">
        <f t="shared" si="20"/>
        <v>0</v>
      </c>
      <c r="BJ30" s="38">
        <f t="shared" si="21"/>
        <v>0</v>
      </c>
      <c r="BK30" s="41" t="s">
        <v>65</v>
      </c>
      <c r="BL30" s="38">
        <v>713</v>
      </c>
      <c r="BW30" s="38">
        <v>0</v>
      </c>
      <c r="BX30" s="26" t="s">
        <v>115</v>
      </c>
    </row>
    <row r="31" spans="1:76" ht="14.4" x14ac:dyDescent="0.3">
      <c r="A31" s="34" t="s">
        <v>51</v>
      </c>
      <c r="B31" s="35" t="s">
        <v>116</v>
      </c>
      <c r="C31" s="78" t="s">
        <v>117</v>
      </c>
      <c r="D31" s="79"/>
      <c r="E31" s="36" t="s">
        <v>4</v>
      </c>
      <c r="F31" s="36" t="s">
        <v>4</v>
      </c>
      <c r="G31" s="25" t="s">
        <v>4</v>
      </c>
      <c r="H31" s="24">
        <f>SUM(H32:H37)</f>
        <v>0</v>
      </c>
      <c r="I31" s="24">
        <f>SUM(I32:I37)</f>
        <v>0</v>
      </c>
      <c r="J31" s="24">
        <f>SUM(J32:J37)</f>
        <v>0</v>
      </c>
      <c r="K31" s="37" t="s">
        <v>51</v>
      </c>
      <c r="AI31" s="29" t="s">
        <v>55</v>
      </c>
      <c r="AS31" s="24">
        <f>SUM(AJ32:AJ37)</f>
        <v>0</v>
      </c>
      <c r="AT31" s="24">
        <f>SUM(AK32:AK37)</f>
        <v>0</v>
      </c>
      <c r="AU31" s="24">
        <f>SUM(AL32:AL37)</f>
        <v>0</v>
      </c>
    </row>
    <row r="32" spans="1:76" ht="14.4" x14ac:dyDescent="0.3">
      <c r="A32" s="17" t="s">
        <v>118</v>
      </c>
      <c r="B32" s="18" t="s">
        <v>119</v>
      </c>
      <c r="C32" s="61" t="s">
        <v>120</v>
      </c>
      <c r="D32" s="58"/>
      <c r="E32" s="18" t="s">
        <v>69</v>
      </c>
      <c r="F32" s="38">
        <v>9.6</v>
      </c>
      <c r="G32" s="39">
        <v>0</v>
      </c>
      <c r="H32" s="38">
        <f t="shared" ref="H32:H37" si="24">ROUND(F32*AO32,2)</f>
        <v>0</v>
      </c>
      <c r="I32" s="38">
        <f t="shared" ref="I32:I37" si="25">ROUND(F32*AP32,2)</f>
        <v>0</v>
      </c>
      <c r="J32" s="38">
        <f t="shared" ref="J32:J37" si="26">ROUND(F32*G32,2)</f>
        <v>0</v>
      </c>
      <c r="K32" s="40" t="s">
        <v>60</v>
      </c>
      <c r="Z32" s="38">
        <f t="shared" ref="Z32:Z37" si="27">ROUND(IF(AQ32="5",BJ32,0),2)</f>
        <v>0</v>
      </c>
      <c r="AB32" s="38">
        <f t="shared" ref="AB32:AB37" si="28">ROUND(IF(AQ32="1",BH32,0),2)</f>
        <v>0</v>
      </c>
      <c r="AC32" s="38">
        <f t="shared" ref="AC32:AC37" si="29">ROUND(IF(AQ32="1",BI32,0),2)</f>
        <v>0</v>
      </c>
      <c r="AD32" s="38">
        <f t="shared" ref="AD32:AD37" si="30">ROUND(IF(AQ32="7",BH32,0),2)</f>
        <v>0</v>
      </c>
      <c r="AE32" s="38">
        <f t="shared" ref="AE32:AE37" si="31">ROUND(IF(AQ32="7",BI32,0),2)</f>
        <v>0</v>
      </c>
      <c r="AF32" s="38">
        <f t="shared" ref="AF32:AF37" si="32">ROUND(IF(AQ32="2",BH32,0),2)</f>
        <v>0</v>
      </c>
      <c r="AG32" s="38">
        <f t="shared" ref="AG32:AG37" si="33">ROUND(IF(AQ32="2",BI32,0),2)</f>
        <v>0</v>
      </c>
      <c r="AH32" s="38">
        <f t="shared" ref="AH32:AH37" si="34">ROUND(IF(AQ32="0",BJ32,0),2)</f>
        <v>0</v>
      </c>
      <c r="AI32" s="29" t="s">
        <v>55</v>
      </c>
      <c r="AJ32" s="38">
        <f t="shared" ref="AJ32:AJ37" si="35">IF(AN32=0,J32,0)</f>
        <v>0</v>
      </c>
      <c r="AK32" s="38">
        <f t="shared" ref="AK32:AK37" si="36">IF(AN32=12,J32,0)</f>
        <v>0</v>
      </c>
      <c r="AL32" s="38">
        <f t="shared" ref="AL32:AL37" si="37">IF(AN32=21,J32,0)</f>
        <v>0</v>
      </c>
      <c r="AN32" s="38">
        <v>0</v>
      </c>
      <c r="AO32" s="38">
        <f>G32*0.268268969</f>
        <v>0</v>
      </c>
      <c r="AP32" s="38">
        <f>G32*(1-0.268268969)</f>
        <v>0</v>
      </c>
      <c r="AQ32" s="41" t="s">
        <v>61</v>
      </c>
      <c r="AV32" s="38">
        <f t="shared" ref="AV32:AV37" si="38">ROUND(AW32+AX32,2)</f>
        <v>0</v>
      </c>
      <c r="AW32" s="38">
        <f t="shared" ref="AW32:AW37" si="39">ROUND(F32*AO32,2)</f>
        <v>0</v>
      </c>
      <c r="AX32" s="38">
        <f t="shared" ref="AX32:AX37" si="40">ROUND(F32*AP32,2)</f>
        <v>0</v>
      </c>
      <c r="AY32" s="41" t="s">
        <v>121</v>
      </c>
      <c r="AZ32" s="41" t="s">
        <v>122</v>
      </c>
      <c r="BA32" s="29" t="s">
        <v>64</v>
      </c>
      <c r="BC32" s="38">
        <f t="shared" ref="BC32:BC37" si="41">AW32+AX32</f>
        <v>0</v>
      </c>
      <c r="BD32" s="38">
        <f t="shared" ref="BD32:BD37" si="42">G32/(100-BE32)*100</f>
        <v>0</v>
      </c>
      <c r="BE32" s="38">
        <v>0</v>
      </c>
      <c r="BF32" s="38">
        <f>32</f>
        <v>32</v>
      </c>
      <c r="BH32" s="38">
        <f t="shared" ref="BH32:BH37" si="43">F32*AO32</f>
        <v>0</v>
      </c>
      <c r="BI32" s="38">
        <f t="shared" ref="BI32:BI37" si="44">F32*AP32</f>
        <v>0</v>
      </c>
      <c r="BJ32" s="38">
        <f t="shared" ref="BJ32:BJ37" si="45">F32*G32</f>
        <v>0</v>
      </c>
      <c r="BK32" s="41" t="s">
        <v>65</v>
      </c>
      <c r="BL32" s="38">
        <v>721</v>
      </c>
      <c r="BW32" s="38">
        <v>0</v>
      </c>
      <c r="BX32" s="26" t="s">
        <v>120</v>
      </c>
    </row>
    <row r="33" spans="1:76" ht="14.4" x14ac:dyDescent="0.3">
      <c r="A33" s="17" t="s">
        <v>123</v>
      </c>
      <c r="B33" s="18" t="s">
        <v>124</v>
      </c>
      <c r="C33" s="61" t="s">
        <v>125</v>
      </c>
      <c r="D33" s="58"/>
      <c r="E33" s="18" t="s">
        <v>126</v>
      </c>
      <c r="F33" s="38">
        <v>1</v>
      </c>
      <c r="G33" s="39">
        <v>0</v>
      </c>
      <c r="H33" s="38">
        <f t="shared" si="24"/>
        <v>0</v>
      </c>
      <c r="I33" s="38">
        <f t="shared" si="25"/>
        <v>0</v>
      </c>
      <c r="J33" s="38">
        <f t="shared" si="26"/>
        <v>0</v>
      </c>
      <c r="K33" s="40" t="s">
        <v>60</v>
      </c>
      <c r="Z33" s="38">
        <f t="shared" si="27"/>
        <v>0</v>
      </c>
      <c r="AB33" s="38">
        <f t="shared" si="28"/>
        <v>0</v>
      </c>
      <c r="AC33" s="38">
        <f t="shared" si="29"/>
        <v>0</v>
      </c>
      <c r="AD33" s="38">
        <f t="shared" si="30"/>
        <v>0</v>
      </c>
      <c r="AE33" s="38">
        <f t="shared" si="31"/>
        <v>0</v>
      </c>
      <c r="AF33" s="38">
        <f t="shared" si="32"/>
        <v>0</v>
      </c>
      <c r="AG33" s="38">
        <f t="shared" si="33"/>
        <v>0</v>
      </c>
      <c r="AH33" s="38">
        <f t="shared" si="34"/>
        <v>0</v>
      </c>
      <c r="AI33" s="29" t="s">
        <v>55</v>
      </c>
      <c r="AJ33" s="38">
        <f t="shared" si="35"/>
        <v>0</v>
      </c>
      <c r="AK33" s="38">
        <f t="shared" si="36"/>
        <v>0</v>
      </c>
      <c r="AL33" s="38">
        <f t="shared" si="37"/>
        <v>0</v>
      </c>
      <c r="AN33" s="38">
        <v>0</v>
      </c>
      <c r="AO33" s="38">
        <f>G33*0</f>
        <v>0</v>
      </c>
      <c r="AP33" s="38">
        <f>G33*(1-0)</f>
        <v>0</v>
      </c>
      <c r="AQ33" s="41" t="s">
        <v>61</v>
      </c>
      <c r="AV33" s="38">
        <f t="shared" si="38"/>
        <v>0</v>
      </c>
      <c r="AW33" s="38">
        <f t="shared" si="39"/>
        <v>0</v>
      </c>
      <c r="AX33" s="38">
        <f t="shared" si="40"/>
        <v>0</v>
      </c>
      <c r="AY33" s="41" t="s">
        <v>121</v>
      </c>
      <c r="AZ33" s="41" t="s">
        <v>122</v>
      </c>
      <c r="BA33" s="29" t="s">
        <v>64</v>
      </c>
      <c r="BC33" s="38">
        <f t="shared" si="41"/>
        <v>0</v>
      </c>
      <c r="BD33" s="38">
        <f t="shared" si="42"/>
        <v>0</v>
      </c>
      <c r="BE33" s="38">
        <v>0</v>
      </c>
      <c r="BF33" s="38">
        <f>33</f>
        <v>33</v>
      </c>
      <c r="BH33" s="38">
        <f t="shared" si="43"/>
        <v>0</v>
      </c>
      <c r="BI33" s="38">
        <f t="shared" si="44"/>
        <v>0</v>
      </c>
      <c r="BJ33" s="38">
        <f t="shared" si="45"/>
        <v>0</v>
      </c>
      <c r="BK33" s="41" t="s">
        <v>65</v>
      </c>
      <c r="BL33" s="38">
        <v>721</v>
      </c>
      <c r="BW33" s="38">
        <v>0</v>
      </c>
      <c r="BX33" s="26" t="s">
        <v>125</v>
      </c>
    </row>
    <row r="34" spans="1:76" ht="14.4" x14ac:dyDescent="0.3">
      <c r="A34" s="17" t="s">
        <v>127</v>
      </c>
      <c r="B34" s="18" t="s">
        <v>128</v>
      </c>
      <c r="C34" s="61" t="s">
        <v>129</v>
      </c>
      <c r="D34" s="58"/>
      <c r="E34" s="18" t="s">
        <v>69</v>
      </c>
      <c r="F34" s="38">
        <v>9.6</v>
      </c>
      <c r="G34" s="39">
        <v>0</v>
      </c>
      <c r="H34" s="38">
        <f t="shared" si="24"/>
        <v>0</v>
      </c>
      <c r="I34" s="38">
        <f t="shared" si="25"/>
        <v>0</v>
      </c>
      <c r="J34" s="38">
        <f t="shared" si="26"/>
        <v>0</v>
      </c>
      <c r="K34" s="40" t="s">
        <v>60</v>
      </c>
      <c r="Z34" s="38">
        <f t="shared" si="27"/>
        <v>0</v>
      </c>
      <c r="AB34" s="38">
        <f t="shared" si="28"/>
        <v>0</v>
      </c>
      <c r="AC34" s="38">
        <f t="shared" si="29"/>
        <v>0</v>
      </c>
      <c r="AD34" s="38">
        <f t="shared" si="30"/>
        <v>0</v>
      </c>
      <c r="AE34" s="38">
        <f t="shared" si="31"/>
        <v>0</v>
      </c>
      <c r="AF34" s="38">
        <f t="shared" si="32"/>
        <v>0</v>
      </c>
      <c r="AG34" s="38">
        <f t="shared" si="33"/>
        <v>0</v>
      </c>
      <c r="AH34" s="38">
        <f t="shared" si="34"/>
        <v>0</v>
      </c>
      <c r="AI34" s="29" t="s">
        <v>55</v>
      </c>
      <c r="AJ34" s="38">
        <f t="shared" si="35"/>
        <v>0</v>
      </c>
      <c r="AK34" s="38">
        <f t="shared" si="36"/>
        <v>0</v>
      </c>
      <c r="AL34" s="38">
        <f t="shared" si="37"/>
        <v>0</v>
      </c>
      <c r="AN34" s="38">
        <v>0</v>
      </c>
      <c r="AO34" s="38">
        <f>G34*0.02624467</f>
        <v>0</v>
      </c>
      <c r="AP34" s="38">
        <f>G34*(1-0.02624467)</f>
        <v>0</v>
      </c>
      <c r="AQ34" s="41" t="s">
        <v>61</v>
      </c>
      <c r="AV34" s="38">
        <f t="shared" si="38"/>
        <v>0</v>
      </c>
      <c r="AW34" s="38">
        <f t="shared" si="39"/>
        <v>0</v>
      </c>
      <c r="AX34" s="38">
        <f t="shared" si="40"/>
        <v>0</v>
      </c>
      <c r="AY34" s="41" t="s">
        <v>121</v>
      </c>
      <c r="AZ34" s="41" t="s">
        <v>122</v>
      </c>
      <c r="BA34" s="29" t="s">
        <v>64</v>
      </c>
      <c r="BC34" s="38">
        <f t="shared" si="41"/>
        <v>0</v>
      </c>
      <c r="BD34" s="38">
        <f t="shared" si="42"/>
        <v>0</v>
      </c>
      <c r="BE34" s="38">
        <v>0</v>
      </c>
      <c r="BF34" s="38">
        <f>34</f>
        <v>34</v>
      </c>
      <c r="BH34" s="38">
        <f t="shared" si="43"/>
        <v>0</v>
      </c>
      <c r="BI34" s="38">
        <f t="shared" si="44"/>
        <v>0</v>
      </c>
      <c r="BJ34" s="38">
        <f t="shared" si="45"/>
        <v>0</v>
      </c>
      <c r="BK34" s="41" t="s">
        <v>65</v>
      </c>
      <c r="BL34" s="38">
        <v>721</v>
      </c>
      <c r="BW34" s="38">
        <v>0</v>
      </c>
      <c r="BX34" s="26" t="s">
        <v>129</v>
      </c>
    </row>
    <row r="35" spans="1:76" ht="14.4" x14ac:dyDescent="0.3">
      <c r="A35" s="17" t="s">
        <v>130</v>
      </c>
      <c r="B35" s="18" t="s">
        <v>131</v>
      </c>
      <c r="C35" s="61" t="s">
        <v>132</v>
      </c>
      <c r="D35" s="58"/>
      <c r="E35" s="18" t="s">
        <v>133</v>
      </c>
      <c r="F35" s="38">
        <v>1</v>
      </c>
      <c r="G35" s="39">
        <v>0</v>
      </c>
      <c r="H35" s="38">
        <f t="shared" si="24"/>
        <v>0</v>
      </c>
      <c r="I35" s="38">
        <f t="shared" si="25"/>
        <v>0</v>
      </c>
      <c r="J35" s="38">
        <f t="shared" si="26"/>
        <v>0</v>
      </c>
      <c r="K35" s="40" t="s">
        <v>51</v>
      </c>
      <c r="Z35" s="38">
        <f t="shared" si="27"/>
        <v>0</v>
      </c>
      <c r="AB35" s="38">
        <f t="shared" si="28"/>
        <v>0</v>
      </c>
      <c r="AC35" s="38">
        <f t="shared" si="29"/>
        <v>0</v>
      </c>
      <c r="AD35" s="38">
        <f t="shared" si="30"/>
        <v>0</v>
      </c>
      <c r="AE35" s="38">
        <f t="shared" si="31"/>
        <v>0</v>
      </c>
      <c r="AF35" s="38">
        <f t="shared" si="32"/>
        <v>0</v>
      </c>
      <c r="AG35" s="38">
        <f t="shared" si="33"/>
        <v>0</v>
      </c>
      <c r="AH35" s="38">
        <f t="shared" si="34"/>
        <v>0</v>
      </c>
      <c r="AI35" s="29" t="s">
        <v>55</v>
      </c>
      <c r="AJ35" s="38">
        <f t="shared" si="35"/>
        <v>0</v>
      </c>
      <c r="AK35" s="38">
        <f t="shared" si="36"/>
        <v>0</v>
      </c>
      <c r="AL35" s="38">
        <f t="shared" si="37"/>
        <v>0</v>
      </c>
      <c r="AN35" s="38">
        <v>0</v>
      </c>
      <c r="AO35" s="38">
        <f>G35*0</f>
        <v>0</v>
      </c>
      <c r="AP35" s="38">
        <f>G35*(1-0)</f>
        <v>0</v>
      </c>
      <c r="AQ35" s="41" t="s">
        <v>61</v>
      </c>
      <c r="AV35" s="38">
        <f t="shared" si="38"/>
        <v>0</v>
      </c>
      <c r="AW35" s="38">
        <f t="shared" si="39"/>
        <v>0</v>
      </c>
      <c r="AX35" s="38">
        <f t="shared" si="40"/>
        <v>0</v>
      </c>
      <c r="AY35" s="41" t="s">
        <v>121</v>
      </c>
      <c r="AZ35" s="41" t="s">
        <v>122</v>
      </c>
      <c r="BA35" s="29" t="s">
        <v>64</v>
      </c>
      <c r="BC35" s="38">
        <f t="shared" si="41"/>
        <v>0</v>
      </c>
      <c r="BD35" s="38">
        <f t="shared" si="42"/>
        <v>0</v>
      </c>
      <c r="BE35" s="38">
        <v>0</v>
      </c>
      <c r="BF35" s="38">
        <f>35</f>
        <v>35</v>
      </c>
      <c r="BH35" s="38">
        <f t="shared" si="43"/>
        <v>0</v>
      </c>
      <c r="BI35" s="38">
        <f t="shared" si="44"/>
        <v>0</v>
      </c>
      <c r="BJ35" s="38">
        <f t="shared" si="45"/>
        <v>0</v>
      </c>
      <c r="BK35" s="41" t="s">
        <v>65</v>
      </c>
      <c r="BL35" s="38">
        <v>721</v>
      </c>
      <c r="BW35" s="38">
        <v>0</v>
      </c>
      <c r="BX35" s="26" t="s">
        <v>132</v>
      </c>
    </row>
    <row r="36" spans="1:76" ht="14.4" x14ac:dyDescent="0.3">
      <c r="A36" s="17" t="s">
        <v>134</v>
      </c>
      <c r="B36" s="18" t="s">
        <v>135</v>
      </c>
      <c r="C36" s="61" t="s">
        <v>136</v>
      </c>
      <c r="D36" s="58"/>
      <c r="E36" s="18" t="s">
        <v>112</v>
      </c>
      <c r="F36" s="38">
        <v>4.5100000000000001E-3</v>
      </c>
      <c r="G36" s="39">
        <v>0</v>
      </c>
      <c r="H36" s="38">
        <f t="shared" si="24"/>
        <v>0</v>
      </c>
      <c r="I36" s="38">
        <f t="shared" si="25"/>
        <v>0</v>
      </c>
      <c r="J36" s="38">
        <f t="shared" si="26"/>
        <v>0</v>
      </c>
      <c r="K36" s="40" t="s">
        <v>60</v>
      </c>
      <c r="Z36" s="38">
        <f t="shared" si="27"/>
        <v>0</v>
      </c>
      <c r="AB36" s="38">
        <f t="shared" si="28"/>
        <v>0</v>
      </c>
      <c r="AC36" s="38">
        <f t="shared" si="29"/>
        <v>0</v>
      </c>
      <c r="AD36" s="38">
        <f t="shared" si="30"/>
        <v>0</v>
      </c>
      <c r="AE36" s="38">
        <f t="shared" si="31"/>
        <v>0</v>
      </c>
      <c r="AF36" s="38">
        <f t="shared" si="32"/>
        <v>0</v>
      </c>
      <c r="AG36" s="38">
        <f t="shared" si="33"/>
        <v>0</v>
      </c>
      <c r="AH36" s="38">
        <f t="shared" si="34"/>
        <v>0</v>
      </c>
      <c r="AI36" s="29" t="s">
        <v>55</v>
      </c>
      <c r="AJ36" s="38">
        <f t="shared" si="35"/>
        <v>0</v>
      </c>
      <c r="AK36" s="38">
        <f t="shared" si="36"/>
        <v>0</v>
      </c>
      <c r="AL36" s="38">
        <f t="shared" si="37"/>
        <v>0</v>
      </c>
      <c r="AN36" s="38">
        <v>0</v>
      </c>
      <c r="AO36" s="38">
        <f>G36*0</f>
        <v>0</v>
      </c>
      <c r="AP36" s="38">
        <f>G36*(1-0)</f>
        <v>0</v>
      </c>
      <c r="AQ36" s="41" t="s">
        <v>76</v>
      </c>
      <c r="AV36" s="38">
        <f t="shared" si="38"/>
        <v>0</v>
      </c>
      <c r="AW36" s="38">
        <f t="shared" si="39"/>
        <v>0</v>
      </c>
      <c r="AX36" s="38">
        <f t="shared" si="40"/>
        <v>0</v>
      </c>
      <c r="AY36" s="41" t="s">
        <v>121</v>
      </c>
      <c r="AZ36" s="41" t="s">
        <v>122</v>
      </c>
      <c r="BA36" s="29" t="s">
        <v>64</v>
      </c>
      <c r="BC36" s="38">
        <f t="shared" si="41"/>
        <v>0</v>
      </c>
      <c r="BD36" s="38">
        <f t="shared" si="42"/>
        <v>0</v>
      </c>
      <c r="BE36" s="38">
        <v>0</v>
      </c>
      <c r="BF36" s="38">
        <f>36</f>
        <v>36</v>
      </c>
      <c r="BH36" s="38">
        <f t="shared" si="43"/>
        <v>0</v>
      </c>
      <c r="BI36" s="38">
        <f t="shared" si="44"/>
        <v>0</v>
      </c>
      <c r="BJ36" s="38">
        <f t="shared" si="45"/>
        <v>0</v>
      </c>
      <c r="BK36" s="41" t="s">
        <v>65</v>
      </c>
      <c r="BL36" s="38">
        <v>721</v>
      </c>
      <c r="BW36" s="38">
        <v>0</v>
      </c>
      <c r="BX36" s="26" t="s">
        <v>136</v>
      </c>
    </row>
    <row r="37" spans="1:76" ht="14.4" x14ac:dyDescent="0.3">
      <c r="A37" s="17" t="s">
        <v>137</v>
      </c>
      <c r="B37" s="18" t="s">
        <v>138</v>
      </c>
      <c r="C37" s="61" t="s">
        <v>139</v>
      </c>
      <c r="D37" s="58"/>
      <c r="E37" s="18" t="s">
        <v>112</v>
      </c>
      <c r="F37" s="38">
        <v>4.5100000000000001E-3</v>
      </c>
      <c r="G37" s="39">
        <v>0</v>
      </c>
      <c r="H37" s="38">
        <f t="shared" si="24"/>
        <v>0</v>
      </c>
      <c r="I37" s="38">
        <f t="shared" si="25"/>
        <v>0</v>
      </c>
      <c r="J37" s="38">
        <f t="shared" si="26"/>
        <v>0</v>
      </c>
      <c r="K37" s="40" t="s">
        <v>60</v>
      </c>
      <c r="Z37" s="38">
        <f t="shared" si="27"/>
        <v>0</v>
      </c>
      <c r="AB37" s="38">
        <f t="shared" si="28"/>
        <v>0</v>
      </c>
      <c r="AC37" s="38">
        <f t="shared" si="29"/>
        <v>0</v>
      </c>
      <c r="AD37" s="38">
        <f t="shared" si="30"/>
        <v>0</v>
      </c>
      <c r="AE37" s="38">
        <f t="shared" si="31"/>
        <v>0</v>
      </c>
      <c r="AF37" s="38">
        <f t="shared" si="32"/>
        <v>0</v>
      </c>
      <c r="AG37" s="38">
        <f t="shared" si="33"/>
        <v>0</v>
      </c>
      <c r="AH37" s="38">
        <f t="shared" si="34"/>
        <v>0</v>
      </c>
      <c r="AI37" s="29" t="s">
        <v>55</v>
      </c>
      <c r="AJ37" s="38">
        <f t="shared" si="35"/>
        <v>0</v>
      </c>
      <c r="AK37" s="38">
        <f t="shared" si="36"/>
        <v>0</v>
      </c>
      <c r="AL37" s="38">
        <f t="shared" si="37"/>
        <v>0</v>
      </c>
      <c r="AN37" s="38">
        <v>0</v>
      </c>
      <c r="AO37" s="38">
        <f>G37*0</f>
        <v>0</v>
      </c>
      <c r="AP37" s="38">
        <f>G37*(1-0)</f>
        <v>0</v>
      </c>
      <c r="AQ37" s="41" t="s">
        <v>76</v>
      </c>
      <c r="AV37" s="38">
        <f t="shared" si="38"/>
        <v>0</v>
      </c>
      <c r="AW37" s="38">
        <f t="shared" si="39"/>
        <v>0</v>
      </c>
      <c r="AX37" s="38">
        <f t="shared" si="40"/>
        <v>0</v>
      </c>
      <c r="AY37" s="41" t="s">
        <v>121</v>
      </c>
      <c r="AZ37" s="41" t="s">
        <v>122</v>
      </c>
      <c r="BA37" s="29" t="s">
        <v>64</v>
      </c>
      <c r="BC37" s="38">
        <f t="shared" si="41"/>
        <v>0</v>
      </c>
      <c r="BD37" s="38">
        <f t="shared" si="42"/>
        <v>0</v>
      </c>
      <c r="BE37" s="38">
        <v>0</v>
      </c>
      <c r="BF37" s="38">
        <f>37</f>
        <v>37</v>
      </c>
      <c r="BH37" s="38">
        <f t="shared" si="43"/>
        <v>0</v>
      </c>
      <c r="BI37" s="38">
        <f t="shared" si="44"/>
        <v>0</v>
      </c>
      <c r="BJ37" s="38">
        <f t="shared" si="45"/>
        <v>0</v>
      </c>
      <c r="BK37" s="41" t="s">
        <v>65</v>
      </c>
      <c r="BL37" s="38">
        <v>721</v>
      </c>
      <c r="BW37" s="38">
        <v>0</v>
      </c>
      <c r="BX37" s="26" t="s">
        <v>139</v>
      </c>
    </row>
    <row r="38" spans="1:76" ht="14.4" x14ac:dyDescent="0.3">
      <c r="A38" s="34" t="s">
        <v>51</v>
      </c>
      <c r="B38" s="35" t="s">
        <v>140</v>
      </c>
      <c r="C38" s="78" t="s">
        <v>141</v>
      </c>
      <c r="D38" s="79"/>
      <c r="E38" s="36" t="s">
        <v>4</v>
      </c>
      <c r="F38" s="36" t="s">
        <v>4</v>
      </c>
      <c r="G38" s="25" t="s">
        <v>4</v>
      </c>
      <c r="H38" s="24">
        <f>SUM(H39:H64)</f>
        <v>0</v>
      </c>
      <c r="I38" s="24">
        <f>SUM(I39:I64)</f>
        <v>0</v>
      </c>
      <c r="J38" s="24">
        <f>SUM(J39:J64)</f>
        <v>0</v>
      </c>
      <c r="K38" s="37" t="s">
        <v>51</v>
      </c>
      <c r="AI38" s="29" t="s">
        <v>55</v>
      </c>
      <c r="AS38" s="24">
        <f>SUM(AJ39:AJ64)</f>
        <v>0</v>
      </c>
      <c r="AT38" s="24">
        <f>SUM(AK39:AK64)</f>
        <v>0</v>
      </c>
      <c r="AU38" s="24">
        <f>SUM(AL39:AL64)</f>
        <v>0</v>
      </c>
    </row>
    <row r="39" spans="1:76" ht="14.4" x14ac:dyDescent="0.3">
      <c r="A39" s="17" t="s">
        <v>142</v>
      </c>
      <c r="B39" s="18" t="s">
        <v>143</v>
      </c>
      <c r="C39" s="61" t="s">
        <v>144</v>
      </c>
      <c r="D39" s="58"/>
      <c r="E39" s="18" t="s">
        <v>69</v>
      </c>
      <c r="F39" s="38">
        <v>417</v>
      </c>
      <c r="G39" s="39">
        <v>0</v>
      </c>
      <c r="H39" s="38">
        <f t="shared" ref="H39:H64" si="46">ROUND(F39*AO39,2)</f>
        <v>0</v>
      </c>
      <c r="I39" s="38">
        <f t="shared" ref="I39:I64" si="47">ROUND(F39*AP39,2)</f>
        <v>0</v>
      </c>
      <c r="J39" s="38">
        <f t="shared" ref="J39:J64" si="48">ROUND(F39*G39,2)</f>
        <v>0</v>
      </c>
      <c r="K39" s="40" t="s">
        <v>60</v>
      </c>
      <c r="Z39" s="38">
        <f t="shared" ref="Z39:Z64" si="49">ROUND(IF(AQ39="5",BJ39,0),2)</f>
        <v>0</v>
      </c>
      <c r="AB39" s="38">
        <f t="shared" ref="AB39:AB64" si="50">ROUND(IF(AQ39="1",BH39,0),2)</f>
        <v>0</v>
      </c>
      <c r="AC39" s="38">
        <f t="shared" ref="AC39:AC64" si="51">ROUND(IF(AQ39="1",BI39,0),2)</f>
        <v>0</v>
      </c>
      <c r="AD39" s="38">
        <f t="shared" ref="AD39:AD64" si="52">ROUND(IF(AQ39="7",BH39,0),2)</f>
        <v>0</v>
      </c>
      <c r="AE39" s="38">
        <f t="shared" ref="AE39:AE64" si="53">ROUND(IF(AQ39="7",BI39,0),2)</f>
        <v>0</v>
      </c>
      <c r="AF39" s="38">
        <f t="shared" ref="AF39:AF64" si="54">ROUND(IF(AQ39="2",BH39,0),2)</f>
        <v>0</v>
      </c>
      <c r="AG39" s="38">
        <f t="shared" ref="AG39:AG64" si="55">ROUND(IF(AQ39="2",BI39,0),2)</f>
        <v>0</v>
      </c>
      <c r="AH39" s="38">
        <f t="shared" ref="AH39:AH64" si="56">ROUND(IF(AQ39="0",BJ39,0),2)</f>
        <v>0</v>
      </c>
      <c r="AI39" s="29" t="s">
        <v>55</v>
      </c>
      <c r="AJ39" s="38">
        <f t="shared" ref="AJ39:AJ64" si="57">IF(AN39=0,J39,0)</f>
        <v>0</v>
      </c>
      <c r="AK39" s="38">
        <f t="shared" ref="AK39:AK64" si="58">IF(AN39=12,J39,0)</f>
        <v>0</v>
      </c>
      <c r="AL39" s="38">
        <f t="shared" ref="AL39:AL64" si="59">IF(AN39=21,J39,0)</f>
        <v>0</v>
      </c>
      <c r="AN39" s="38">
        <v>0</v>
      </c>
      <c r="AO39" s="38">
        <f>G39*0.876532174</f>
        <v>0</v>
      </c>
      <c r="AP39" s="38">
        <f>G39*(1-0.876532174)</f>
        <v>0</v>
      </c>
      <c r="AQ39" s="41" t="s">
        <v>61</v>
      </c>
      <c r="AV39" s="38">
        <f t="shared" ref="AV39:AV64" si="60">ROUND(AW39+AX39,2)</f>
        <v>0</v>
      </c>
      <c r="AW39" s="38">
        <f t="shared" ref="AW39:AW64" si="61">ROUND(F39*AO39,2)</f>
        <v>0</v>
      </c>
      <c r="AX39" s="38">
        <f t="shared" ref="AX39:AX64" si="62">ROUND(F39*AP39,2)</f>
        <v>0</v>
      </c>
      <c r="AY39" s="41" t="s">
        <v>145</v>
      </c>
      <c r="AZ39" s="41" t="s">
        <v>122</v>
      </c>
      <c r="BA39" s="29" t="s">
        <v>64</v>
      </c>
      <c r="BC39" s="38">
        <f t="shared" ref="BC39:BC64" si="63">AW39+AX39</f>
        <v>0</v>
      </c>
      <c r="BD39" s="38">
        <f t="shared" ref="BD39:BD64" si="64">G39/(100-BE39)*100</f>
        <v>0</v>
      </c>
      <c r="BE39" s="38">
        <v>0</v>
      </c>
      <c r="BF39" s="38">
        <f>39</f>
        <v>39</v>
      </c>
      <c r="BH39" s="38">
        <f t="shared" ref="BH39:BH64" si="65">F39*AO39</f>
        <v>0</v>
      </c>
      <c r="BI39" s="38">
        <f t="shared" ref="BI39:BI64" si="66">F39*AP39</f>
        <v>0</v>
      </c>
      <c r="BJ39" s="38">
        <f t="shared" ref="BJ39:BJ64" si="67">F39*G39</f>
        <v>0</v>
      </c>
      <c r="BK39" s="41" t="s">
        <v>65</v>
      </c>
      <c r="BL39" s="38">
        <v>722</v>
      </c>
      <c r="BW39" s="38">
        <v>0</v>
      </c>
      <c r="BX39" s="26" t="s">
        <v>144</v>
      </c>
    </row>
    <row r="40" spans="1:76" ht="14.4" x14ac:dyDescent="0.3">
      <c r="A40" s="17" t="s">
        <v>146</v>
      </c>
      <c r="B40" s="18" t="s">
        <v>147</v>
      </c>
      <c r="C40" s="61" t="s">
        <v>148</v>
      </c>
      <c r="D40" s="58"/>
      <c r="E40" s="18" t="s">
        <v>69</v>
      </c>
      <c r="F40" s="38">
        <v>4.0999999999999996</v>
      </c>
      <c r="G40" s="39">
        <v>0</v>
      </c>
      <c r="H40" s="38">
        <f t="shared" si="46"/>
        <v>0</v>
      </c>
      <c r="I40" s="38">
        <f t="shared" si="47"/>
        <v>0</v>
      </c>
      <c r="J40" s="38">
        <f t="shared" si="48"/>
        <v>0</v>
      </c>
      <c r="K40" s="40" t="s">
        <v>60</v>
      </c>
      <c r="Z40" s="38">
        <f t="shared" si="49"/>
        <v>0</v>
      </c>
      <c r="AB40" s="38">
        <f t="shared" si="50"/>
        <v>0</v>
      </c>
      <c r="AC40" s="38">
        <f t="shared" si="51"/>
        <v>0</v>
      </c>
      <c r="AD40" s="38">
        <f t="shared" si="52"/>
        <v>0</v>
      </c>
      <c r="AE40" s="38">
        <f t="shared" si="53"/>
        <v>0</v>
      </c>
      <c r="AF40" s="38">
        <f t="shared" si="54"/>
        <v>0</v>
      </c>
      <c r="AG40" s="38">
        <f t="shared" si="55"/>
        <v>0</v>
      </c>
      <c r="AH40" s="38">
        <f t="shared" si="56"/>
        <v>0</v>
      </c>
      <c r="AI40" s="29" t="s">
        <v>55</v>
      </c>
      <c r="AJ40" s="38">
        <f t="shared" si="57"/>
        <v>0</v>
      </c>
      <c r="AK40" s="38">
        <f t="shared" si="58"/>
        <v>0</v>
      </c>
      <c r="AL40" s="38">
        <f t="shared" si="59"/>
        <v>0</v>
      </c>
      <c r="AN40" s="38">
        <v>0</v>
      </c>
      <c r="AO40" s="38">
        <f>G40*0.758539317</f>
        <v>0</v>
      </c>
      <c r="AP40" s="38">
        <f>G40*(1-0.758539317)</f>
        <v>0</v>
      </c>
      <c r="AQ40" s="41" t="s">
        <v>61</v>
      </c>
      <c r="AV40" s="38">
        <f t="shared" si="60"/>
        <v>0</v>
      </c>
      <c r="AW40" s="38">
        <f t="shared" si="61"/>
        <v>0</v>
      </c>
      <c r="AX40" s="38">
        <f t="shared" si="62"/>
        <v>0</v>
      </c>
      <c r="AY40" s="41" t="s">
        <v>145</v>
      </c>
      <c r="AZ40" s="41" t="s">
        <v>122</v>
      </c>
      <c r="BA40" s="29" t="s">
        <v>64</v>
      </c>
      <c r="BC40" s="38">
        <f t="shared" si="63"/>
        <v>0</v>
      </c>
      <c r="BD40" s="38">
        <f t="shared" si="64"/>
        <v>0</v>
      </c>
      <c r="BE40" s="38">
        <v>0</v>
      </c>
      <c r="BF40" s="38">
        <f>40</f>
        <v>40</v>
      </c>
      <c r="BH40" s="38">
        <f t="shared" si="65"/>
        <v>0</v>
      </c>
      <c r="BI40" s="38">
        <f t="shared" si="66"/>
        <v>0</v>
      </c>
      <c r="BJ40" s="38">
        <f t="shared" si="67"/>
        <v>0</v>
      </c>
      <c r="BK40" s="41" t="s">
        <v>65</v>
      </c>
      <c r="BL40" s="38">
        <v>722</v>
      </c>
      <c r="BW40" s="38">
        <v>0</v>
      </c>
      <c r="BX40" s="26" t="s">
        <v>148</v>
      </c>
    </row>
    <row r="41" spans="1:76" ht="14.4" x14ac:dyDescent="0.3">
      <c r="A41" s="17" t="s">
        <v>149</v>
      </c>
      <c r="B41" s="18" t="s">
        <v>150</v>
      </c>
      <c r="C41" s="61" t="s">
        <v>151</v>
      </c>
      <c r="D41" s="58"/>
      <c r="E41" s="18" t="s">
        <v>69</v>
      </c>
      <c r="F41" s="38">
        <v>4.4000000000000004</v>
      </c>
      <c r="G41" s="39">
        <v>0</v>
      </c>
      <c r="H41" s="38">
        <f t="shared" si="46"/>
        <v>0</v>
      </c>
      <c r="I41" s="38">
        <f t="shared" si="47"/>
        <v>0</v>
      </c>
      <c r="J41" s="38">
        <f t="shared" si="48"/>
        <v>0</v>
      </c>
      <c r="K41" s="40" t="s">
        <v>60</v>
      </c>
      <c r="Z41" s="38">
        <f t="shared" si="49"/>
        <v>0</v>
      </c>
      <c r="AB41" s="38">
        <f t="shared" si="50"/>
        <v>0</v>
      </c>
      <c r="AC41" s="38">
        <f t="shared" si="51"/>
        <v>0</v>
      </c>
      <c r="AD41" s="38">
        <f t="shared" si="52"/>
        <v>0</v>
      </c>
      <c r="AE41" s="38">
        <f t="shared" si="53"/>
        <v>0</v>
      </c>
      <c r="AF41" s="38">
        <f t="shared" si="54"/>
        <v>0</v>
      </c>
      <c r="AG41" s="38">
        <f t="shared" si="55"/>
        <v>0</v>
      </c>
      <c r="AH41" s="38">
        <f t="shared" si="56"/>
        <v>0</v>
      </c>
      <c r="AI41" s="29" t="s">
        <v>55</v>
      </c>
      <c r="AJ41" s="38">
        <f t="shared" si="57"/>
        <v>0</v>
      </c>
      <c r="AK41" s="38">
        <f t="shared" si="58"/>
        <v>0</v>
      </c>
      <c r="AL41" s="38">
        <f t="shared" si="59"/>
        <v>0</v>
      </c>
      <c r="AN41" s="38">
        <v>0</v>
      </c>
      <c r="AO41" s="38">
        <f>G41*0.69862669</f>
        <v>0</v>
      </c>
      <c r="AP41" s="38">
        <f>G41*(1-0.69862669)</f>
        <v>0</v>
      </c>
      <c r="AQ41" s="41" t="s">
        <v>61</v>
      </c>
      <c r="AV41" s="38">
        <f t="shared" si="60"/>
        <v>0</v>
      </c>
      <c r="AW41" s="38">
        <f t="shared" si="61"/>
        <v>0</v>
      </c>
      <c r="AX41" s="38">
        <f t="shared" si="62"/>
        <v>0</v>
      </c>
      <c r="AY41" s="41" t="s">
        <v>145</v>
      </c>
      <c r="AZ41" s="41" t="s">
        <v>122</v>
      </c>
      <c r="BA41" s="29" t="s">
        <v>64</v>
      </c>
      <c r="BC41" s="38">
        <f t="shared" si="63"/>
        <v>0</v>
      </c>
      <c r="BD41" s="38">
        <f t="shared" si="64"/>
        <v>0</v>
      </c>
      <c r="BE41" s="38">
        <v>0</v>
      </c>
      <c r="BF41" s="38">
        <f>41</f>
        <v>41</v>
      </c>
      <c r="BH41" s="38">
        <f t="shared" si="65"/>
        <v>0</v>
      </c>
      <c r="BI41" s="38">
        <f t="shared" si="66"/>
        <v>0</v>
      </c>
      <c r="BJ41" s="38">
        <f t="shared" si="67"/>
        <v>0</v>
      </c>
      <c r="BK41" s="41" t="s">
        <v>65</v>
      </c>
      <c r="BL41" s="38">
        <v>722</v>
      </c>
      <c r="BW41" s="38">
        <v>0</v>
      </c>
      <c r="BX41" s="26" t="s">
        <v>151</v>
      </c>
    </row>
    <row r="42" spans="1:76" ht="14.4" x14ac:dyDescent="0.3">
      <c r="A42" s="17" t="s">
        <v>152</v>
      </c>
      <c r="B42" s="18" t="s">
        <v>153</v>
      </c>
      <c r="C42" s="61" t="s">
        <v>154</v>
      </c>
      <c r="D42" s="58"/>
      <c r="E42" s="18" t="s">
        <v>69</v>
      </c>
      <c r="F42" s="38">
        <v>14</v>
      </c>
      <c r="G42" s="39">
        <v>0</v>
      </c>
      <c r="H42" s="38">
        <f t="shared" si="46"/>
        <v>0</v>
      </c>
      <c r="I42" s="38">
        <f t="shared" si="47"/>
        <v>0</v>
      </c>
      <c r="J42" s="38">
        <f t="shared" si="48"/>
        <v>0</v>
      </c>
      <c r="K42" s="40" t="s">
        <v>60</v>
      </c>
      <c r="Z42" s="38">
        <f t="shared" si="49"/>
        <v>0</v>
      </c>
      <c r="AB42" s="38">
        <f t="shared" si="50"/>
        <v>0</v>
      </c>
      <c r="AC42" s="38">
        <f t="shared" si="51"/>
        <v>0</v>
      </c>
      <c r="AD42" s="38">
        <f t="shared" si="52"/>
        <v>0</v>
      </c>
      <c r="AE42" s="38">
        <f t="shared" si="53"/>
        <v>0</v>
      </c>
      <c r="AF42" s="38">
        <f t="shared" si="54"/>
        <v>0</v>
      </c>
      <c r="AG42" s="38">
        <f t="shared" si="55"/>
        <v>0</v>
      </c>
      <c r="AH42" s="38">
        <f t="shared" si="56"/>
        <v>0</v>
      </c>
      <c r="AI42" s="29" t="s">
        <v>55</v>
      </c>
      <c r="AJ42" s="38">
        <f t="shared" si="57"/>
        <v>0</v>
      </c>
      <c r="AK42" s="38">
        <f t="shared" si="58"/>
        <v>0</v>
      </c>
      <c r="AL42" s="38">
        <f t="shared" si="59"/>
        <v>0</v>
      </c>
      <c r="AN42" s="38">
        <v>0</v>
      </c>
      <c r="AO42" s="38">
        <f>G42*0.636617538</f>
        <v>0</v>
      </c>
      <c r="AP42" s="38">
        <f>G42*(1-0.636617538)</f>
        <v>0</v>
      </c>
      <c r="AQ42" s="41" t="s">
        <v>61</v>
      </c>
      <c r="AV42" s="38">
        <f t="shared" si="60"/>
        <v>0</v>
      </c>
      <c r="AW42" s="38">
        <f t="shared" si="61"/>
        <v>0</v>
      </c>
      <c r="AX42" s="38">
        <f t="shared" si="62"/>
        <v>0</v>
      </c>
      <c r="AY42" s="41" t="s">
        <v>145</v>
      </c>
      <c r="AZ42" s="41" t="s">
        <v>122</v>
      </c>
      <c r="BA42" s="29" t="s">
        <v>64</v>
      </c>
      <c r="BC42" s="38">
        <f t="shared" si="63"/>
        <v>0</v>
      </c>
      <c r="BD42" s="38">
        <f t="shared" si="64"/>
        <v>0</v>
      </c>
      <c r="BE42" s="38">
        <v>0</v>
      </c>
      <c r="BF42" s="38">
        <f>42</f>
        <v>42</v>
      </c>
      <c r="BH42" s="38">
        <f t="shared" si="65"/>
        <v>0</v>
      </c>
      <c r="BI42" s="38">
        <f t="shared" si="66"/>
        <v>0</v>
      </c>
      <c r="BJ42" s="38">
        <f t="shared" si="67"/>
        <v>0</v>
      </c>
      <c r="BK42" s="41" t="s">
        <v>65</v>
      </c>
      <c r="BL42" s="38">
        <v>722</v>
      </c>
      <c r="BW42" s="38">
        <v>0</v>
      </c>
      <c r="BX42" s="26" t="s">
        <v>154</v>
      </c>
    </row>
    <row r="43" spans="1:76" ht="14.4" x14ac:dyDescent="0.3">
      <c r="A43" s="17" t="s">
        <v>155</v>
      </c>
      <c r="B43" s="18" t="s">
        <v>156</v>
      </c>
      <c r="C43" s="61" t="s">
        <v>157</v>
      </c>
      <c r="D43" s="58"/>
      <c r="E43" s="18" t="s">
        <v>69</v>
      </c>
      <c r="F43" s="38">
        <v>21.1</v>
      </c>
      <c r="G43" s="39">
        <v>0</v>
      </c>
      <c r="H43" s="38">
        <f t="shared" si="46"/>
        <v>0</v>
      </c>
      <c r="I43" s="38">
        <f t="shared" si="47"/>
        <v>0</v>
      </c>
      <c r="J43" s="38">
        <f t="shared" si="48"/>
        <v>0</v>
      </c>
      <c r="K43" s="40" t="s">
        <v>60</v>
      </c>
      <c r="Z43" s="38">
        <f t="shared" si="49"/>
        <v>0</v>
      </c>
      <c r="AB43" s="38">
        <f t="shared" si="50"/>
        <v>0</v>
      </c>
      <c r="AC43" s="38">
        <f t="shared" si="51"/>
        <v>0</v>
      </c>
      <c r="AD43" s="38">
        <f t="shared" si="52"/>
        <v>0</v>
      </c>
      <c r="AE43" s="38">
        <f t="shared" si="53"/>
        <v>0</v>
      </c>
      <c r="AF43" s="38">
        <f t="shared" si="54"/>
        <v>0</v>
      </c>
      <c r="AG43" s="38">
        <f t="shared" si="55"/>
        <v>0</v>
      </c>
      <c r="AH43" s="38">
        <f t="shared" si="56"/>
        <v>0</v>
      </c>
      <c r="AI43" s="29" t="s">
        <v>55</v>
      </c>
      <c r="AJ43" s="38">
        <f t="shared" si="57"/>
        <v>0</v>
      </c>
      <c r="AK43" s="38">
        <f t="shared" si="58"/>
        <v>0</v>
      </c>
      <c r="AL43" s="38">
        <f t="shared" si="59"/>
        <v>0</v>
      </c>
      <c r="AN43" s="38">
        <v>0</v>
      </c>
      <c r="AO43" s="38">
        <f>G43*0.64393608</f>
        <v>0</v>
      </c>
      <c r="AP43" s="38">
        <f>G43*(1-0.64393608)</f>
        <v>0</v>
      </c>
      <c r="AQ43" s="41" t="s">
        <v>61</v>
      </c>
      <c r="AV43" s="38">
        <f t="shared" si="60"/>
        <v>0</v>
      </c>
      <c r="AW43" s="38">
        <f t="shared" si="61"/>
        <v>0</v>
      </c>
      <c r="AX43" s="38">
        <f t="shared" si="62"/>
        <v>0</v>
      </c>
      <c r="AY43" s="41" t="s">
        <v>145</v>
      </c>
      <c r="AZ43" s="41" t="s">
        <v>122</v>
      </c>
      <c r="BA43" s="29" t="s">
        <v>64</v>
      </c>
      <c r="BC43" s="38">
        <f t="shared" si="63"/>
        <v>0</v>
      </c>
      <c r="BD43" s="38">
        <f t="shared" si="64"/>
        <v>0</v>
      </c>
      <c r="BE43" s="38">
        <v>0</v>
      </c>
      <c r="BF43" s="38">
        <f>43</f>
        <v>43</v>
      </c>
      <c r="BH43" s="38">
        <f t="shared" si="65"/>
        <v>0</v>
      </c>
      <c r="BI43" s="38">
        <f t="shared" si="66"/>
        <v>0</v>
      </c>
      <c r="BJ43" s="38">
        <f t="shared" si="67"/>
        <v>0</v>
      </c>
      <c r="BK43" s="41" t="s">
        <v>65</v>
      </c>
      <c r="BL43" s="38">
        <v>722</v>
      </c>
      <c r="BW43" s="38">
        <v>0</v>
      </c>
      <c r="BX43" s="26" t="s">
        <v>157</v>
      </c>
    </row>
    <row r="44" spans="1:76" ht="14.4" x14ac:dyDescent="0.3">
      <c r="A44" s="17" t="s">
        <v>158</v>
      </c>
      <c r="B44" s="18" t="s">
        <v>159</v>
      </c>
      <c r="C44" s="61" t="s">
        <v>160</v>
      </c>
      <c r="D44" s="58"/>
      <c r="E44" s="18" t="s">
        <v>69</v>
      </c>
      <c r="F44" s="38">
        <v>15.7</v>
      </c>
      <c r="G44" s="39">
        <v>0</v>
      </c>
      <c r="H44" s="38">
        <f t="shared" si="46"/>
        <v>0</v>
      </c>
      <c r="I44" s="38">
        <f t="shared" si="47"/>
        <v>0</v>
      </c>
      <c r="J44" s="38">
        <f t="shared" si="48"/>
        <v>0</v>
      </c>
      <c r="K44" s="40" t="s">
        <v>60</v>
      </c>
      <c r="Z44" s="38">
        <f t="shared" si="49"/>
        <v>0</v>
      </c>
      <c r="AB44" s="38">
        <f t="shared" si="50"/>
        <v>0</v>
      </c>
      <c r="AC44" s="38">
        <f t="shared" si="51"/>
        <v>0</v>
      </c>
      <c r="AD44" s="38">
        <f t="shared" si="52"/>
        <v>0</v>
      </c>
      <c r="AE44" s="38">
        <f t="shared" si="53"/>
        <v>0</v>
      </c>
      <c r="AF44" s="38">
        <f t="shared" si="54"/>
        <v>0</v>
      </c>
      <c r="AG44" s="38">
        <f t="shared" si="55"/>
        <v>0</v>
      </c>
      <c r="AH44" s="38">
        <f t="shared" si="56"/>
        <v>0</v>
      </c>
      <c r="AI44" s="29" t="s">
        <v>55</v>
      </c>
      <c r="AJ44" s="38">
        <f t="shared" si="57"/>
        <v>0</v>
      </c>
      <c r="AK44" s="38">
        <f t="shared" si="58"/>
        <v>0</v>
      </c>
      <c r="AL44" s="38">
        <f t="shared" si="59"/>
        <v>0</v>
      </c>
      <c r="AN44" s="38">
        <v>0</v>
      </c>
      <c r="AO44" s="38">
        <f>G44*0.537956855</f>
        <v>0</v>
      </c>
      <c r="AP44" s="38">
        <f>G44*(1-0.537956855)</f>
        <v>0</v>
      </c>
      <c r="AQ44" s="41" t="s">
        <v>61</v>
      </c>
      <c r="AV44" s="38">
        <f t="shared" si="60"/>
        <v>0</v>
      </c>
      <c r="AW44" s="38">
        <f t="shared" si="61"/>
        <v>0</v>
      </c>
      <c r="AX44" s="38">
        <f t="shared" si="62"/>
        <v>0</v>
      </c>
      <c r="AY44" s="41" t="s">
        <v>145</v>
      </c>
      <c r="AZ44" s="41" t="s">
        <v>122</v>
      </c>
      <c r="BA44" s="29" t="s">
        <v>64</v>
      </c>
      <c r="BC44" s="38">
        <f t="shared" si="63"/>
        <v>0</v>
      </c>
      <c r="BD44" s="38">
        <f t="shared" si="64"/>
        <v>0</v>
      </c>
      <c r="BE44" s="38">
        <v>0</v>
      </c>
      <c r="BF44" s="38">
        <f>44</f>
        <v>44</v>
      </c>
      <c r="BH44" s="38">
        <f t="shared" si="65"/>
        <v>0</v>
      </c>
      <c r="BI44" s="38">
        <f t="shared" si="66"/>
        <v>0</v>
      </c>
      <c r="BJ44" s="38">
        <f t="shared" si="67"/>
        <v>0</v>
      </c>
      <c r="BK44" s="41" t="s">
        <v>65</v>
      </c>
      <c r="BL44" s="38">
        <v>722</v>
      </c>
      <c r="BW44" s="38">
        <v>0</v>
      </c>
      <c r="BX44" s="26" t="s">
        <v>160</v>
      </c>
    </row>
    <row r="45" spans="1:76" ht="14.4" x14ac:dyDescent="0.3">
      <c r="A45" s="17" t="s">
        <v>161</v>
      </c>
      <c r="B45" s="18" t="s">
        <v>162</v>
      </c>
      <c r="C45" s="61" t="s">
        <v>163</v>
      </c>
      <c r="D45" s="58"/>
      <c r="E45" s="18" t="s">
        <v>69</v>
      </c>
      <c r="F45" s="38">
        <v>21.7</v>
      </c>
      <c r="G45" s="39">
        <v>0</v>
      </c>
      <c r="H45" s="38">
        <f t="shared" si="46"/>
        <v>0</v>
      </c>
      <c r="I45" s="38">
        <f t="shared" si="47"/>
        <v>0</v>
      </c>
      <c r="J45" s="38">
        <f t="shared" si="48"/>
        <v>0</v>
      </c>
      <c r="K45" s="40" t="s">
        <v>60</v>
      </c>
      <c r="Z45" s="38">
        <f t="shared" si="49"/>
        <v>0</v>
      </c>
      <c r="AB45" s="38">
        <f t="shared" si="50"/>
        <v>0</v>
      </c>
      <c r="AC45" s="38">
        <f t="shared" si="51"/>
        <v>0</v>
      </c>
      <c r="AD45" s="38">
        <f t="shared" si="52"/>
        <v>0</v>
      </c>
      <c r="AE45" s="38">
        <f t="shared" si="53"/>
        <v>0</v>
      </c>
      <c r="AF45" s="38">
        <f t="shared" si="54"/>
        <v>0</v>
      </c>
      <c r="AG45" s="38">
        <f t="shared" si="55"/>
        <v>0</v>
      </c>
      <c r="AH45" s="38">
        <f t="shared" si="56"/>
        <v>0</v>
      </c>
      <c r="AI45" s="29" t="s">
        <v>55</v>
      </c>
      <c r="AJ45" s="38">
        <f t="shared" si="57"/>
        <v>0</v>
      </c>
      <c r="AK45" s="38">
        <f t="shared" si="58"/>
        <v>0</v>
      </c>
      <c r="AL45" s="38">
        <f t="shared" si="59"/>
        <v>0</v>
      </c>
      <c r="AN45" s="38">
        <v>0</v>
      </c>
      <c r="AO45" s="38">
        <f>G45*0.387921771</f>
        <v>0</v>
      </c>
      <c r="AP45" s="38">
        <f>G45*(1-0.387921771)</f>
        <v>0</v>
      </c>
      <c r="AQ45" s="41" t="s">
        <v>61</v>
      </c>
      <c r="AV45" s="38">
        <f t="shared" si="60"/>
        <v>0</v>
      </c>
      <c r="AW45" s="38">
        <f t="shared" si="61"/>
        <v>0</v>
      </c>
      <c r="AX45" s="38">
        <f t="shared" si="62"/>
        <v>0</v>
      </c>
      <c r="AY45" s="41" t="s">
        <v>145</v>
      </c>
      <c r="AZ45" s="41" t="s">
        <v>122</v>
      </c>
      <c r="BA45" s="29" t="s">
        <v>64</v>
      </c>
      <c r="BC45" s="38">
        <f t="shared" si="63"/>
        <v>0</v>
      </c>
      <c r="BD45" s="38">
        <f t="shared" si="64"/>
        <v>0</v>
      </c>
      <c r="BE45" s="38">
        <v>0</v>
      </c>
      <c r="BF45" s="38">
        <f>45</f>
        <v>45</v>
      </c>
      <c r="BH45" s="38">
        <f t="shared" si="65"/>
        <v>0</v>
      </c>
      <c r="BI45" s="38">
        <f t="shared" si="66"/>
        <v>0</v>
      </c>
      <c r="BJ45" s="38">
        <f t="shared" si="67"/>
        <v>0</v>
      </c>
      <c r="BK45" s="41" t="s">
        <v>65</v>
      </c>
      <c r="BL45" s="38">
        <v>722</v>
      </c>
      <c r="BW45" s="38">
        <v>0</v>
      </c>
      <c r="BX45" s="26" t="s">
        <v>163</v>
      </c>
    </row>
    <row r="46" spans="1:76" ht="14.4" x14ac:dyDescent="0.3">
      <c r="A46" s="17" t="s">
        <v>164</v>
      </c>
      <c r="B46" s="18" t="s">
        <v>165</v>
      </c>
      <c r="C46" s="61" t="s">
        <v>166</v>
      </c>
      <c r="D46" s="58"/>
      <c r="E46" s="18" t="s">
        <v>69</v>
      </c>
      <c r="F46" s="38">
        <v>1247.9000000000001</v>
      </c>
      <c r="G46" s="39">
        <v>0</v>
      </c>
      <c r="H46" s="38">
        <f t="shared" si="46"/>
        <v>0</v>
      </c>
      <c r="I46" s="38">
        <f t="shared" si="47"/>
        <v>0</v>
      </c>
      <c r="J46" s="38">
        <f t="shared" si="48"/>
        <v>0</v>
      </c>
      <c r="K46" s="40" t="s">
        <v>60</v>
      </c>
      <c r="Z46" s="38">
        <f t="shared" si="49"/>
        <v>0</v>
      </c>
      <c r="AB46" s="38">
        <f t="shared" si="50"/>
        <v>0</v>
      </c>
      <c r="AC46" s="38">
        <f t="shared" si="51"/>
        <v>0</v>
      </c>
      <c r="AD46" s="38">
        <f t="shared" si="52"/>
        <v>0</v>
      </c>
      <c r="AE46" s="38">
        <f t="shared" si="53"/>
        <v>0</v>
      </c>
      <c r="AF46" s="38">
        <f t="shared" si="54"/>
        <v>0</v>
      </c>
      <c r="AG46" s="38">
        <f t="shared" si="55"/>
        <v>0</v>
      </c>
      <c r="AH46" s="38">
        <f t="shared" si="56"/>
        <v>0</v>
      </c>
      <c r="AI46" s="29" t="s">
        <v>55</v>
      </c>
      <c r="AJ46" s="38">
        <f t="shared" si="57"/>
        <v>0</v>
      </c>
      <c r="AK46" s="38">
        <f t="shared" si="58"/>
        <v>0</v>
      </c>
      <c r="AL46" s="38">
        <f t="shared" si="59"/>
        <v>0</v>
      </c>
      <c r="AN46" s="38">
        <v>0</v>
      </c>
      <c r="AO46" s="38">
        <f>G46*0.04704604</f>
        <v>0</v>
      </c>
      <c r="AP46" s="38">
        <f>G46*(1-0.04704604)</f>
        <v>0</v>
      </c>
      <c r="AQ46" s="41" t="s">
        <v>61</v>
      </c>
      <c r="AV46" s="38">
        <f t="shared" si="60"/>
        <v>0</v>
      </c>
      <c r="AW46" s="38">
        <f t="shared" si="61"/>
        <v>0</v>
      </c>
      <c r="AX46" s="38">
        <f t="shared" si="62"/>
        <v>0</v>
      </c>
      <c r="AY46" s="41" t="s">
        <v>145</v>
      </c>
      <c r="AZ46" s="41" t="s">
        <v>122</v>
      </c>
      <c r="BA46" s="29" t="s">
        <v>64</v>
      </c>
      <c r="BC46" s="38">
        <f t="shared" si="63"/>
        <v>0</v>
      </c>
      <c r="BD46" s="38">
        <f t="shared" si="64"/>
        <v>0</v>
      </c>
      <c r="BE46" s="38">
        <v>0</v>
      </c>
      <c r="BF46" s="38">
        <f>46</f>
        <v>46</v>
      </c>
      <c r="BH46" s="38">
        <f t="shared" si="65"/>
        <v>0</v>
      </c>
      <c r="BI46" s="38">
        <f t="shared" si="66"/>
        <v>0</v>
      </c>
      <c r="BJ46" s="38">
        <f t="shared" si="67"/>
        <v>0</v>
      </c>
      <c r="BK46" s="41" t="s">
        <v>65</v>
      </c>
      <c r="BL46" s="38">
        <v>722</v>
      </c>
      <c r="BW46" s="38">
        <v>0</v>
      </c>
      <c r="BX46" s="26" t="s">
        <v>166</v>
      </c>
    </row>
    <row r="47" spans="1:76" ht="14.4" x14ac:dyDescent="0.3">
      <c r="A47" s="17" t="s">
        <v>167</v>
      </c>
      <c r="B47" s="18" t="s">
        <v>168</v>
      </c>
      <c r="C47" s="61" t="s">
        <v>169</v>
      </c>
      <c r="D47" s="58"/>
      <c r="E47" s="18" t="s">
        <v>69</v>
      </c>
      <c r="F47" s="38">
        <v>283.2</v>
      </c>
      <c r="G47" s="39">
        <v>0</v>
      </c>
      <c r="H47" s="38">
        <f t="shared" si="46"/>
        <v>0</v>
      </c>
      <c r="I47" s="38">
        <f t="shared" si="47"/>
        <v>0</v>
      </c>
      <c r="J47" s="38">
        <f t="shared" si="48"/>
        <v>0</v>
      </c>
      <c r="K47" s="40" t="s">
        <v>60</v>
      </c>
      <c r="Z47" s="38">
        <f t="shared" si="49"/>
        <v>0</v>
      </c>
      <c r="AB47" s="38">
        <f t="shared" si="50"/>
        <v>0</v>
      </c>
      <c r="AC47" s="38">
        <f t="shared" si="51"/>
        <v>0</v>
      </c>
      <c r="AD47" s="38">
        <f t="shared" si="52"/>
        <v>0</v>
      </c>
      <c r="AE47" s="38">
        <f t="shared" si="53"/>
        <v>0</v>
      </c>
      <c r="AF47" s="38">
        <f t="shared" si="54"/>
        <v>0</v>
      </c>
      <c r="AG47" s="38">
        <f t="shared" si="55"/>
        <v>0</v>
      </c>
      <c r="AH47" s="38">
        <f t="shared" si="56"/>
        <v>0</v>
      </c>
      <c r="AI47" s="29" t="s">
        <v>55</v>
      </c>
      <c r="AJ47" s="38">
        <f t="shared" si="57"/>
        <v>0</v>
      </c>
      <c r="AK47" s="38">
        <f t="shared" si="58"/>
        <v>0</v>
      </c>
      <c r="AL47" s="38">
        <f t="shared" si="59"/>
        <v>0</v>
      </c>
      <c r="AN47" s="38">
        <v>0</v>
      </c>
      <c r="AO47" s="38">
        <f>G47*0.829742249</f>
        <v>0</v>
      </c>
      <c r="AP47" s="38">
        <f>G47*(1-0.829742249)</f>
        <v>0</v>
      </c>
      <c r="AQ47" s="41" t="s">
        <v>61</v>
      </c>
      <c r="AV47" s="38">
        <f t="shared" si="60"/>
        <v>0</v>
      </c>
      <c r="AW47" s="38">
        <f t="shared" si="61"/>
        <v>0</v>
      </c>
      <c r="AX47" s="38">
        <f t="shared" si="62"/>
        <v>0</v>
      </c>
      <c r="AY47" s="41" t="s">
        <v>145</v>
      </c>
      <c r="AZ47" s="41" t="s">
        <v>122</v>
      </c>
      <c r="BA47" s="29" t="s">
        <v>64</v>
      </c>
      <c r="BC47" s="38">
        <f t="shared" si="63"/>
        <v>0</v>
      </c>
      <c r="BD47" s="38">
        <f t="shared" si="64"/>
        <v>0</v>
      </c>
      <c r="BE47" s="38">
        <v>0</v>
      </c>
      <c r="BF47" s="38">
        <f>47</f>
        <v>47</v>
      </c>
      <c r="BH47" s="38">
        <f t="shared" si="65"/>
        <v>0</v>
      </c>
      <c r="BI47" s="38">
        <f t="shared" si="66"/>
        <v>0</v>
      </c>
      <c r="BJ47" s="38">
        <f t="shared" si="67"/>
        <v>0</v>
      </c>
      <c r="BK47" s="41" t="s">
        <v>65</v>
      </c>
      <c r="BL47" s="38">
        <v>722</v>
      </c>
      <c r="BW47" s="38">
        <v>0</v>
      </c>
      <c r="BX47" s="26" t="s">
        <v>169</v>
      </c>
    </row>
    <row r="48" spans="1:76" ht="14.4" x14ac:dyDescent="0.3">
      <c r="A48" s="17" t="s">
        <v>170</v>
      </c>
      <c r="B48" s="18" t="s">
        <v>171</v>
      </c>
      <c r="C48" s="61" t="s">
        <v>172</v>
      </c>
      <c r="D48" s="58"/>
      <c r="E48" s="18" t="s">
        <v>69</v>
      </c>
      <c r="F48" s="38">
        <v>287.8</v>
      </c>
      <c r="G48" s="39">
        <v>0</v>
      </c>
      <c r="H48" s="38">
        <f t="shared" si="46"/>
        <v>0</v>
      </c>
      <c r="I48" s="38">
        <f t="shared" si="47"/>
        <v>0</v>
      </c>
      <c r="J48" s="38">
        <f t="shared" si="48"/>
        <v>0</v>
      </c>
      <c r="K48" s="40" t="s">
        <v>60</v>
      </c>
      <c r="Z48" s="38">
        <f t="shared" si="49"/>
        <v>0</v>
      </c>
      <c r="AB48" s="38">
        <f t="shared" si="50"/>
        <v>0</v>
      </c>
      <c r="AC48" s="38">
        <f t="shared" si="51"/>
        <v>0</v>
      </c>
      <c r="AD48" s="38">
        <f t="shared" si="52"/>
        <v>0</v>
      </c>
      <c r="AE48" s="38">
        <f t="shared" si="53"/>
        <v>0</v>
      </c>
      <c r="AF48" s="38">
        <f t="shared" si="54"/>
        <v>0</v>
      </c>
      <c r="AG48" s="38">
        <f t="shared" si="55"/>
        <v>0</v>
      </c>
      <c r="AH48" s="38">
        <f t="shared" si="56"/>
        <v>0</v>
      </c>
      <c r="AI48" s="29" t="s">
        <v>55</v>
      </c>
      <c r="AJ48" s="38">
        <f t="shared" si="57"/>
        <v>0</v>
      </c>
      <c r="AK48" s="38">
        <f t="shared" si="58"/>
        <v>0</v>
      </c>
      <c r="AL48" s="38">
        <f t="shared" si="59"/>
        <v>0</v>
      </c>
      <c r="AN48" s="38">
        <v>0</v>
      </c>
      <c r="AO48" s="38">
        <f>G48*0.770249738</f>
        <v>0</v>
      </c>
      <c r="AP48" s="38">
        <f>G48*(1-0.770249738)</f>
        <v>0</v>
      </c>
      <c r="AQ48" s="41" t="s">
        <v>61</v>
      </c>
      <c r="AV48" s="38">
        <f t="shared" si="60"/>
        <v>0</v>
      </c>
      <c r="AW48" s="38">
        <f t="shared" si="61"/>
        <v>0</v>
      </c>
      <c r="AX48" s="38">
        <f t="shared" si="62"/>
        <v>0</v>
      </c>
      <c r="AY48" s="41" t="s">
        <v>145</v>
      </c>
      <c r="AZ48" s="41" t="s">
        <v>122</v>
      </c>
      <c r="BA48" s="29" t="s">
        <v>64</v>
      </c>
      <c r="BC48" s="38">
        <f t="shared" si="63"/>
        <v>0</v>
      </c>
      <c r="BD48" s="38">
        <f t="shared" si="64"/>
        <v>0</v>
      </c>
      <c r="BE48" s="38">
        <v>0</v>
      </c>
      <c r="BF48" s="38">
        <f>48</f>
        <v>48</v>
      </c>
      <c r="BH48" s="38">
        <f t="shared" si="65"/>
        <v>0</v>
      </c>
      <c r="BI48" s="38">
        <f t="shared" si="66"/>
        <v>0</v>
      </c>
      <c r="BJ48" s="38">
        <f t="shared" si="67"/>
        <v>0</v>
      </c>
      <c r="BK48" s="41" t="s">
        <v>65</v>
      </c>
      <c r="BL48" s="38">
        <v>722</v>
      </c>
      <c r="BW48" s="38">
        <v>0</v>
      </c>
      <c r="BX48" s="26" t="s">
        <v>172</v>
      </c>
    </row>
    <row r="49" spans="1:76" ht="14.4" x14ac:dyDescent="0.3">
      <c r="A49" s="17" t="s">
        <v>173</v>
      </c>
      <c r="B49" s="18" t="s">
        <v>174</v>
      </c>
      <c r="C49" s="61" t="s">
        <v>175</v>
      </c>
      <c r="D49" s="58"/>
      <c r="E49" s="18" t="s">
        <v>69</v>
      </c>
      <c r="F49" s="38">
        <v>37.700000000000003</v>
      </c>
      <c r="G49" s="39">
        <v>0</v>
      </c>
      <c r="H49" s="38">
        <f t="shared" si="46"/>
        <v>0</v>
      </c>
      <c r="I49" s="38">
        <f t="shared" si="47"/>
        <v>0</v>
      </c>
      <c r="J49" s="38">
        <f t="shared" si="48"/>
        <v>0</v>
      </c>
      <c r="K49" s="40" t="s">
        <v>60</v>
      </c>
      <c r="Z49" s="38">
        <f t="shared" si="49"/>
        <v>0</v>
      </c>
      <c r="AB49" s="38">
        <f t="shared" si="50"/>
        <v>0</v>
      </c>
      <c r="AC49" s="38">
        <f t="shared" si="51"/>
        <v>0</v>
      </c>
      <c r="AD49" s="38">
        <f t="shared" si="52"/>
        <v>0</v>
      </c>
      <c r="AE49" s="38">
        <f t="shared" si="53"/>
        <v>0</v>
      </c>
      <c r="AF49" s="38">
        <f t="shared" si="54"/>
        <v>0</v>
      </c>
      <c r="AG49" s="38">
        <f t="shared" si="55"/>
        <v>0</v>
      </c>
      <c r="AH49" s="38">
        <f t="shared" si="56"/>
        <v>0</v>
      </c>
      <c r="AI49" s="29" t="s">
        <v>55</v>
      </c>
      <c r="AJ49" s="38">
        <f t="shared" si="57"/>
        <v>0</v>
      </c>
      <c r="AK49" s="38">
        <f t="shared" si="58"/>
        <v>0</v>
      </c>
      <c r="AL49" s="38">
        <f t="shared" si="59"/>
        <v>0</v>
      </c>
      <c r="AN49" s="38">
        <v>0</v>
      </c>
      <c r="AO49" s="38">
        <f>G49*0.655336666</f>
        <v>0</v>
      </c>
      <c r="AP49" s="38">
        <f>G49*(1-0.655336666)</f>
        <v>0</v>
      </c>
      <c r="AQ49" s="41" t="s">
        <v>61</v>
      </c>
      <c r="AV49" s="38">
        <f t="shared" si="60"/>
        <v>0</v>
      </c>
      <c r="AW49" s="38">
        <f t="shared" si="61"/>
        <v>0</v>
      </c>
      <c r="AX49" s="38">
        <f t="shared" si="62"/>
        <v>0</v>
      </c>
      <c r="AY49" s="41" t="s">
        <v>145</v>
      </c>
      <c r="AZ49" s="41" t="s">
        <v>122</v>
      </c>
      <c r="BA49" s="29" t="s">
        <v>64</v>
      </c>
      <c r="BC49" s="38">
        <f t="shared" si="63"/>
        <v>0</v>
      </c>
      <c r="BD49" s="38">
        <f t="shared" si="64"/>
        <v>0</v>
      </c>
      <c r="BE49" s="38">
        <v>0</v>
      </c>
      <c r="BF49" s="38">
        <f>49</f>
        <v>49</v>
      </c>
      <c r="BH49" s="38">
        <f t="shared" si="65"/>
        <v>0</v>
      </c>
      <c r="BI49" s="38">
        <f t="shared" si="66"/>
        <v>0</v>
      </c>
      <c r="BJ49" s="38">
        <f t="shared" si="67"/>
        <v>0</v>
      </c>
      <c r="BK49" s="41" t="s">
        <v>65</v>
      </c>
      <c r="BL49" s="38">
        <v>722</v>
      </c>
      <c r="BW49" s="38">
        <v>0</v>
      </c>
      <c r="BX49" s="26" t="s">
        <v>175</v>
      </c>
    </row>
    <row r="50" spans="1:76" ht="14.4" x14ac:dyDescent="0.3">
      <c r="A50" s="17" t="s">
        <v>176</v>
      </c>
      <c r="B50" s="18" t="s">
        <v>177</v>
      </c>
      <c r="C50" s="61" t="s">
        <v>178</v>
      </c>
      <c r="D50" s="58"/>
      <c r="E50" s="18" t="s">
        <v>69</v>
      </c>
      <c r="F50" s="38">
        <v>18.100000000000001</v>
      </c>
      <c r="G50" s="39">
        <v>0</v>
      </c>
      <c r="H50" s="38">
        <f t="shared" si="46"/>
        <v>0</v>
      </c>
      <c r="I50" s="38">
        <f t="shared" si="47"/>
        <v>0</v>
      </c>
      <c r="J50" s="38">
        <f t="shared" si="48"/>
        <v>0</v>
      </c>
      <c r="K50" s="40" t="s">
        <v>60</v>
      </c>
      <c r="Z50" s="38">
        <f t="shared" si="49"/>
        <v>0</v>
      </c>
      <c r="AB50" s="38">
        <f t="shared" si="50"/>
        <v>0</v>
      </c>
      <c r="AC50" s="38">
        <f t="shared" si="51"/>
        <v>0</v>
      </c>
      <c r="AD50" s="38">
        <f t="shared" si="52"/>
        <v>0</v>
      </c>
      <c r="AE50" s="38">
        <f t="shared" si="53"/>
        <v>0</v>
      </c>
      <c r="AF50" s="38">
        <f t="shared" si="54"/>
        <v>0</v>
      </c>
      <c r="AG50" s="38">
        <f t="shared" si="55"/>
        <v>0</v>
      </c>
      <c r="AH50" s="38">
        <f t="shared" si="56"/>
        <v>0</v>
      </c>
      <c r="AI50" s="29" t="s">
        <v>55</v>
      </c>
      <c r="AJ50" s="38">
        <f t="shared" si="57"/>
        <v>0</v>
      </c>
      <c r="AK50" s="38">
        <f t="shared" si="58"/>
        <v>0</v>
      </c>
      <c r="AL50" s="38">
        <f t="shared" si="59"/>
        <v>0</v>
      </c>
      <c r="AN50" s="38">
        <v>0</v>
      </c>
      <c r="AO50" s="38">
        <f>G50*0.65824839</f>
        <v>0</v>
      </c>
      <c r="AP50" s="38">
        <f>G50*(1-0.65824839)</f>
        <v>0</v>
      </c>
      <c r="AQ50" s="41" t="s">
        <v>61</v>
      </c>
      <c r="AV50" s="38">
        <f t="shared" si="60"/>
        <v>0</v>
      </c>
      <c r="AW50" s="38">
        <f t="shared" si="61"/>
        <v>0</v>
      </c>
      <c r="AX50" s="38">
        <f t="shared" si="62"/>
        <v>0</v>
      </c>
      <c r="AY50" s="41" t="s">
        <v>145</v>
      </c>
      <c r="AZ50" s="41" t="s">
        <v>122</v>
      </c>
      <c r="BA50" s="29" t="s">
        <v>64</v>
      </c>
      <c r="BC50" s="38">
        <f t="shared" si="63"/>
        <v>0</v>
      </c>
      <c r="BD50" s="38">
        <f t="shared" si="64"/>
        <v>0</v>
      </c>
      <c r="BE50" s="38">
        <v>0</v>
      </c>
      <c r="BF50" s="38">
        <f>50</f>
        <v>50</v>
      </c>
      <c r="BH50" s="38">
        <f t="shared" si="65"/>
        <v>0</v>
      </c>
      <c r="BI50" s="38">
        <f t="shared" si="66"/>
        <v>0</v>
      </c>
      <c r="BJ50" s="38">
        <f t="shared" si="67"/>
        <v>0</v>
      </c>
      <c r="BK50" s="41" t="s">
        <v>65</v>
      </c>
      <c r="BL50" s="38">
        <v>722</v>
      </c>
      <c r="BW50" s="38">
        <v>0</v>
      </c>
      <c r="BX50" s="26" t="s">
        <v>178</v>
      </c>
    </row>
    <row r="51" spans="1:76" ht="14.4" x14ac:dyDescent="0.3">
      <c r="A51" s="17" t="s">
        <v>179</v>
      </c>
      <c r="B51" s="18" t="s">
        <v>180</v>
      </c>
      <c r="C51" s="61" t="s">
        <v>181</v>
      </c>
      <c r="D51" s="58"/>
      <c r="E51" s="18" t="s">
        <v>69</v>
      </c>
      <c r="F51" s="38">
        <v>86</v>
      </c>
      <c r="G51" s="39">
        <v>0</v>
      </c>
      <c r="H51" s="38">
        <f t="shared" si="46"/>
        <v>0</v>
      </c>
      <c r="I51" s="38">
        <f t="shared" si="47"/>
        <v>0</v>
      </c>
      <c r="J51" s="38">
        <f t="shared" si="48"/>
        <v>0</v>
      </c>
      <c r="K51" s="40" t="s">
        <v>60</v>
      </c>
      <c r="Z51" s="38">
        <f t="shared" si="49"/>
        <v>0</v>
      </c>
      <c r="AB51" s="38">
        <f t="shared" si="50"/>
        <v>0</v>
      </c>
      <c r="AC51" s="38">
        <f t="shared" si="51"/>
        <v>0</v>
      </c>
      <c r="AD51" s="38">
        <f t="shared" si="52"/>
        <v>0</v>
      </c>
      <c r="AE51" s="38">
        <f t="shared" si="53"/>
        <v>0</v>
      </c>
      <c r="AF51" s="38">
        <f t="shared" si="54"/>
        <v>0</v>
      </c>
      <c r="AG51" s="38">
        <f t="shared" si="55"/>
        <v>0</v>
      </c>
      <c r="AH51" s="38">
        <f t="shared" si="56"/>
        <v>0</v>
      </c>
      <c r="AI51" s="29" t="s">
        <v>55</v>
      </c>
      <c r="AJ51" s="38">
        <f t="shared" si="57"/>
        <v>0</v>
      </c>
      <c r="AK51" s="38">
        <f t="shared" si="58"/>
        <v>0</v>
      </c>
      <c r="AL51" s="38">
        <f t="shared" si="59"/>
        <v>0</v>
      </c>
      <c r="AN51" s="38">
        <v>0</v>
      </c>
      <c r="AO51" s="38">
        <f>G51*0.554517857</f>
        <v>0</v>
      </c>
      <c r="AP51" s="38">
        <f>G51*(1-0.554517857)</f>
        <v>0</v>
      </c>
      <c r="AQ51" s="41" t="s">
        <v>61</v>
      </c>
      <c r="AV51" s="38">
        <f t="shared" si="60"/>
        <v>0</v>
      </c>
      <c r="AW51" s="38">
        <f t="shared" si="61"/>
        <v>0</v>
      </c>
      <c r="AX51" s="38">
        <f t="shared" si="62"/>
        <v>0</v>
      </c>
      <c r="AY51" s="41" t="s">
        <v>145</v>
      </c>
      <c r="AZ51" s="41" t="s">
        <v>122</v>
      </c>
      <c r="BA51" s="29" t="s">
        <v>64</v>
      </c>
      <c r="BC51" s="38">
        <f t="shared" si="63"/>
        <v>0</v>
      </c>
      <c r="BD51" s="38">
        <f t="shared" si="64"/>
        <v>0</v>
      </c>
      <c r="BE51" s="38">
        <v>0</v>
      </c>
      <c r="BF51" s="38">
        <f>51</f>
        <v>51</v>
      </c>
      <c r="BH51" s="38">
        <f t="shared" si="65"/>
        <v>0</v>
      </c>
      <c r="BI51" s="38">
        <f t="shared" si="66"/>
        <v>0</v>
      </c>
      <c r="BJ51" s="38">
        <f t="shared" si="67"/>
        <v>0</v>
      </c>
      <c r="BK51" s="41" t="s">
        <v>65</v>
      </c>
      <c r="BL51" s="38">
        <v>722</v>
      </c>
      <c r="BW51" s="38">
        <v>0</v>
      </c>
      <c r="BX51" s="26" t="s">
        <v>181</v>
      </c>
    </row>
    <row r="52" spans="1:76" ht="14.4" x14ac:dyDescent="0.3">
      <c r="A52" s="17" t="s">
        <v>182</v>
      </c>
      <c r="B52" s="18" t="s">
        <v>183</v>
      </c>
      <c r="C52" s="61" t="s">
        <v>184</v>
      </c>
      <c r="D52" s="58"/>
      <c r="E52" s="18" t="s">
        <v>69</v>
      </c>
      <c r="F52" s="38">
        <v>4.2</v>
      </c>
      <c r="G52" s="39">
        <v>0</v>
      </c>
      <c r="H52" s="38">
        <f t="shared" si="46"/>
        <v>0</v>
      </c>
      <c r="I52" s="38">
        <f t="shared" si="47"/>
        <v>0</v>
      </c>
      <c r="J52" s="38">
        <f t="shared" si="48"/>
        <v>0</v>
      </c>
      <c r="K52" s="40" t="s">
        <v>60</v>
      </c>
      <c r="Z52" s="38">
        <f t="shared" si="49"/>
        <v>0</v>
      </c>
      <c r="AB52" s="38">
        <f t="shared" si="50"/>
        <v>0</v>
      </c>
      <c r="AC52" s="38">
        <f t="shared" si="51"/>
        <v>0</v>
      </c>
      <c r="AD52" s="38">
        <f t="shared" si="52"/>
        <v>0</v>
      </c>
      <c r="AE52" s="38">
        <f t="shared" si="53"/>
        <v>0</v>
      </c>
      <c r="AF52" s="38">
        <f t="shared" si="54"/>
        <v>0</v>
      </c>
      <c r="AG52" s="38">
        <f t="shared" si="55"/>
        <v>0</v>
      </c>
      <c r="AH52" s="38">
        <f t="shared" si="56"/>
        <v>0</v>
      </c>
      <c r="AI52" s="29" t="s">
        <v>55</v>
      </c>
      <c r="AJ52" s="38">
        <f t="shared" si="57"/>
        <v>0</v>
      </c>
      <c r="AK52" s="38">
        <f t="shared" si="58"/>
        <v>0</v>
      </c>
      <c r="AL52" s="38">
        <f t="shared" si="59"/>
        <v>0</v>
      </c>
      <c r="AN52" s="38">
        <v>0</v>
      </c>
      <c r="AO52" s="38">
        <f>G52*0.475139727</f>
        <v>0</v>
      </c>
      <c r="AP52" s="38">
        <f>G52*(1-0.475139727)</f>
        <v>0</v>
      </c>
      <c r="AQ52" s="41" t="s">
        <v>61</v>
      </c>
      <c r="AV52" s="38">
        <f t="shared" si="60"/>
        <v>0</v>
      </c>
      <c r="AW52" s="38">
        <f t="shared" si="61"/>
        <v>0</v>
      </c>
      <c r="AX52" s="38">
        <f t="shared" si="62"/>
        <v>0</v>
      </c>
      <c r="AY52" s="41" t="s">
        <v>145</v>
      </c>
      <c r="AZ52" s="41" t="s">
        <v>122</v>
      </c>
      <c r="BA52" s="29" t="s">
        <v>64</v>
      </c>
      <c r="BC52" s="38">
        <f t="shared" si="63"/>
        <v>0</v>
      </c>
      <c r="BD52" s="38">
        <f t="shared" si="64"/>
        <v>0</v>
      </c>
      <c r="BE52" s="38">
        <v>0</v>
      </c>
      <c r="BF52" s="38">
        <f>52</f>
        <v>52</v>
      </c>
      <c r="BH52" s="38">
        <f t="shared" si="65"/>
        <v>0</v>
      </c>
      <c r="BI52" s="38">
        <f t="shared" si="66"/>
        <v>0</v>
      </c>
      <c r="BJ52" s="38">
        <f t="shared" si="67"/>
        <v>0</v>
      </c>
      <c r="BK52" s="41" t="s">
        <v>65</v>
      </c>
      <c r="BL52" s="38">
        <v>722</v>
      </c>
      <c r="BW52" s="38">
        <v>0</v>
      </c>
      <c r="BX52" s="26" t="s">
        <v>184</v>
      </c>
    </row>
    <row r="53" spans="1:76" ht="14.4" x14ac:dyDescent="0.3">
      <c r="A53" s="17" t="s">
        <v>185</v>
      </c>
      <c r="B53" s="18" t="s">
        <v>186</v>
      </c>
      <c r="C53" s="61" t="s">
        <v>187</v>
      </c>
      <c r="D53" s="58"/>
      <c r="E53" s="18" t="s">
        <v>69</v>
      </c>
      <c r="F53" s="38">
        <v>32.9</v>
      </c>
      <c r="G53" s="39">
        <v>0</v>
      </c>
      <c r="H53" s="38">
        <f t="shared" si="46"/>
        <v>0</v>
      </c>
      <c r="I53" s="38">
        <f t="shared" si="47"/>
        <v>0</v>
      </c>
      <c r="J53" s="38">
        <f t="shared" si="48"/>
        <v>0</v>
      </c>
      <c r="K53" s="40" t="s">
        <v>60</v>
      </c>
      <c r="Z53" s="38">
        <f t="shared" si="49"/>
        <v>0</v>
      </c>
      <c r="AB53" s="38">
        <f t="shared" si="50"/>
        <v>0</v>
      </c>
      <c r="AC53" s="38">
        <f t="shared" si="51"/>
        <v>0</v>
      </c>
      <c r="AD53" s="38">
        <f t="shared" si="52"/>
        <v>0</v>
      </c>
      <c r="AE53" s="38">
        <f t="shared" si="53"/>
        <v>0</v>
      </c>
      <c r="AF53" s="38">
        <f t="shared" si="54"/>
        <v>0</v>
      </c>
      <c r="AG53" s="38">
        <f t="shared" si="55"/>
        <v>0</v>
      </c>
      <c r="AH53" s="38">
        <f t="shared" si="56"/>
        <v>0</v>
      </c>
      <c r="AI53" s="29" t="s">
        <v>55</v>
      </c>
      <c r="AJ53" s="38">
        <f t="shared" si="57"/>
        <v>0</v>
      </c>
      <c r="AK53" s="38">
        <f t="shared" si="58"/>
        <v>0</v>
      </c>
      <c r="AL53" s="38">
        <f t="shared" si="59"/>
        <v>0</v>
      </c>
      <c r="AN53" s="38">
        <v>0</v>
      </c>
      <c r="AO53" s="38">
        <f>G53*0.410239442</f>
        <v>0</v>
      </c>
      <c r="AP53" s="38">
        <f>G53*(1-0.410239442)</f>
        <v>0</v>
      </c>
      <c r="AQ53" s="41" t="s">
        <v>61</v>
      </c>
      <c r="AV53" s="38">
        <f t="shared" si="60"/>
        <v>0</v>
      </c>
      <c r="AW53" s="38">
        <f t="shared" si="61"/>
        <v>0</v>
      </c>
      <c r="AX53" s="38">
        <f t="shared" si="62"/>
        <v>0</v>
      </c>
      <c r="AY53" s="41" t="s">
        <v>145</v>
      </c>
      <c r="AZ53" s="41" t="s">
        <v>122</v>
      </c>
      <c r="BA53" s="29" t="s">
        <v>64</v>
      </c>
      <c r="BC53" s="38">
        <f t="shared" si="63"/>
        <v>0</v>
      </c>
      <c r="BD53" s="38">
        <f t="shared" si="64"/>
        <v>0</v>
      </c>
      <c r="BE53" s="38">
        <v>0</v>
      </c>
      <c r="BF53" s="38">
        <f>53</f>
        <v>53</v>
      </c>
      <c r="BH53" s="38">
        <f t="shared" si="65"/>
        <v>0</v>
      </c>
      <c r="BI53" s="38">
        <f t="shared" si="66"/>
        <v>0</v>
      </c>
      <c r="BJ53" s="38">
        <f t="shared" si="67"/>
        <v>0</v>
      </c>
      <c r="BK53" s="41" t="s">
        <v>65</v>
      </c>
      <c r="BL53" s="38">
        <v>722</v>
      </c>
      <c r="BW53" s="38">
        <v>0</v>
      </c>
      <c r="BX53" s="26" t="s">
        <v>187</v>
      </c>
    </row>
    <row r="54" spans="1:76" ht="14.4" x14ac:dyDescent="0.3">
      <c r="A54" s="17" t="s">
        <v>188</v>
      </c>
      <c r="B54" s="18" t="s">
        <v>189</v>
      </c>
      <c r="C54" s="61" t="s">
        <v>190</v>
      </c>
      <c r="D54" s="58"/>
      <c r="E54" s="18" t="s">
        <v>69</v>
      </c>
      <c r="F54" s="38">
        <v>199.7</v>
      </c>
      <c r="G54" s="39">
        <v>0</v>
      </c>
      <c r="H54" s="38">
        <f t="shared" si="46"/>
        <v>0</v>
      </c>
      <c r="I54" s="38">
        <f t="shared" si="47"/>
        <v>0</v>
      </c>
      <c r="J54" s="38">
        <f t="shared" si="48"/>
        <v>0</v>
      </c>
      <c r="K54" s="40" t="s">
        <v>60</v>
      </c>
      <c r="Z54" s="38">
        <f t="shared" si="49"/>
        <v>0</v>
      </c>
      <c r="AB54" s="38">
        <f t="shared" si="50"/>
        <v>0</v>
      </c>
      <c r="AC54" s="38">
        <f t="shared" si="51"/>
        <v>0</v>
      </c>
      <c r="AD54" s="38">
        <f t="shared" si="52"/>
        <v>0</v>
      </c>
      <c r="AE54" s="38">
        <f t="shared" si="53"/>
        <v>0</v>
      </c>
      <c r="AF54" s="38">
        <f t="shared" si="54"/>
        <v>0</v>
      </c>
      <c r="AG54" s="38">
        <f t="shared" si="55"/>
        <v>0</v>
      </c>
      <c r="AH54" s="38">
        <f t="shared" si="56"/>
        <v>0</v>
      </c>
      <c r="AI54" s="29" t="s">
        <v>55</v>
      </c>
      <c r="AJ54" s="38">
        <f t="shared" si="57"/>
        <v>0</v>
      </c>
      <c r="AK54" s="38">
        <f t="shared" si="58"/>
        <v>0</v>
      </c>
      <c r="AL54" s="38">
        <f t="shared" si="59"/>
        <v>0</v>
      </c>
      <c r="AN54" s="38">
        <v>0</v>
      </c>
      <c r="AO54" s="38">
        <f>G54*0.013527538</f>
        <v>0</v>
      </c>
      <c r="AP54" s="38">
        <f>G54*(1-0.013527538)</f>
        <v>0</v>
      </c>
      <c r="AQ54" s="41" t="s">
        <v>61</v>
      </c>
      <c r="AV54" s="38">
        <f t="shared" si="60"/>
        <v>0</v>
      </c>
      <c r="AW54" s="38">
        <f t="shared" si="61"/>
        <v>0</v>
      </c>
      <c r="AX54" s="38">
        <f t="shared" si="62"/>
        <v>0</v>
      </c>
      <c r="AY54" s="41" t="s">
        <v>145</v>
      </c>
      <c r="AZ54" s="41" t="s">
        <v>122</v>
      </c>
      <c r="BA54" s="29" t="s">
        <v>64</v>
      </c>
      <c r="BC54" s="38">
        <f t="shared" si="63"/>
        <v>0</v>
      </c>
      <c r="BD54" s="38">
        <f t="shared" si="64"/>
        <v>0</v>
      </c>
      <c r="BE54" s="38">
        <v>0</v>
      </c>
      <c r="BF54" s="38">
        <f>54</f>
        <v>54</v>
      </c>
      <c r="BH54" s="38">
        <f t="shared" si="65"/>
        <v>0</v>
      </c>
      <c r="BI54" s="38">
        <f t="shared" si="66"/>
        <v>0</v>
      </c>
      <c r="BJ54" s="38">
        <f t="shared" si="67"/>
        <v>0</v>
      </c>
      <c r="BK54" s="41" t="s">
        <v>65</v>
      </c>
      <c r="BL54" s="38">
        <v>722</v>
      </c>
      <c r="BW54" s="38">
        <v>0</v>
      </c>
      <c r="BX54" s="26" t="s">
        <v>190</v>
      </c>
    </row>
    <row r="55" spans="1:76" ht="14.4" x14ac:dyDescent="0.3">
      <c r="A55" s="17" t="s">
        <v>191</v>
      </c>
      <c r="B55" s="18" t="s">
        <v>192</v>
      </c>
      <c r="C55" s="61" t="s">
        <v>193</v>
      </c>
      <c r="D55" s="58"/>
      <c r="E55" s="18" t="s">
        <v>69</v>
      </c>
      <c r="F55" s="38">
        <v>51.7</v>
      </c>
      <c r="G55" s="39">
        <v>0</v>
      </c>
      <c r="H55" s="38">
        <f t="shared" si="46"/>
        <v>0</v>
      </c>
      <c r="I55" s="38">
        <f t="shared" si="47"/>
        <v>0</v>
      </c>
      <c r="J55" s="38">
        <f t="shared" si="48"/>
        <v>0</v>
      </c>
      <c r="K55" s="40" t="s">
        <v>60</v>
      </c>
      <c r="Z55" s="38">
        <f t="shared" si="49"/>
        <v>0</v>
      </c>
      <c r="AB55" s="38">
        <f t="shared" si="50"/>
        <v>0</v>
      </c>
      <c r="AC55" s="38">
        <f t="shared" si="51"/>
        <v>0</v>
      </c>
      <c r="AD55" s="38">
        <f t="shared" si="52"/>
        <v>0</v>
      </c>
      <c r="AE55" s="38">
        <f t="shared" si="53"/>
        <v>0</v>
      </c>
      <c r="AF55" s="38">
        <f t="shared" si="54"/>
        <v>0</v>
      </c>
      <c r="AG55" s="38">
        <f t="shared" si="55"/>
        <v>0</v>
      </c>
      <c r="AH55" s="38">
        <f t="shared" si="56"/>
        <v>0</v>
      </c>
      <c r="AI55" s="29" t="s">
        <v>55</v>
      </c>
      <c r="AJ55" s="38">
        <f t="shared" si="57"/>
        <v>0</v>
      </c>
      <c r="AK55" s="38">
        <f t="shared" si="58"/>
        <v>0</v>
      </c>
      <c r="AL55" s="38">
        <f t="shared" si="59"/>
        <v>0</v>
      </c>
      <c r="AN55" s="38">
        <v>0</v>
      </c>
      <c r="AO55" s="38">
        <f>G55*0.015386366</f>
        <v>0</v>
      </c>
      <c r="AP55" s="38">
        <f>G55*(1-0.015386366)</f>
        <v>0</v>
      </c>
      <c r="AQ55" s="41" t="s">
        <v>61</v>
      </c>
      <c r="AV55" s="38">
        <f t="shared" si="60"/>
        <v>0</v>
      </c>
      <c r="AW55" s="38">
        <f t="shared" si="61"/>
        <v>0</v>
      </c>
      <c r="AX55" s="38">
        <f t="shared" si="62"/>
        <v>0</v>
      </c>
      <c r="AY55" s="41" t="s">
        <v>145</v>
      </c>
      <c r="AZ55" s="41" t="s">
        <v>122</v>
      </c>
      <c r="BA55" s="29" t="s">
        <v>64</v>
      </c>
      <c r="BC55" s="38">
        <f t="shared" si="63"/>
        <v>0</v>
      </c>
      <c r="BD55" s="38">
        <f t="shared" si="64"/>
        <v>0</v>
      </c>
      <c r="BE55" s="38">
        <v>0</v>
      </c>
      <c r="BF55" s="38">
        <f>55</f>
        <v>55</v>
      </c>
      <c r="BH55" s="38">
        <f t="shared" si="65"/>
        <v>0</v>
      </c>
      <c r="BI55" s="38">
        <f t="shared" si="66"/>
        <v>0</v>
      </c>
      <c r="BJ55" s="38">
        <f t="shared" si="67"/>
        <v>0</v>
      </c>
      <c r="BK55" s="41" t="s">
        <v>65</v>
      </c>
      <c r="BL55" s="38">
        <v>722</v>
      </c>
      <c r="BW55" s="38">
        <v>0</v>
      </c>
      <c r="BX55" s="26" t="s">
        <v>193</v>
      </c>
    </row>
    <row r="56" spans="1:76" ht="14.4" x14ac:dyDescent="0.3">
      <c r="A56" s="17" t="s">
        <v>194</v>
      </c>
      <c r="B56" s="18" t="s">
        <v>195</v>
      </c>
      <c r="C56" s="61" t="s">
        <v>196</v>
      </c>
      <c r="D56" s="58"/>
      <c r="E56" s="18" t="s">
        <v>69</v>
      </c>
      <c r="F56" s="38">
        <v>290.60000000000002</v>
      </c>
      <c r="G56" s="39">
        <v>0</v>
      </c>
      <c r="H56" s="38">
        <f t="shared" si="46"/>
        <v>0</v>
      </c>
      <c r="I56" s="38">
        <f t="shared" si="47"/>
        <v>0</v>
      </c>
      <c r="J56" s="38">
        <f t="shared" si="48"/>
        <v>0</v>
      </c>
      <c r="K56" s="40" t="s">
        <v>60</v>
      </c>
      <c r="Z56" s="38">
        <f t="shared" si="49"/>
        <v>0</v>
      </c>
      <c r="AB56" s="38">
        <f t="shared" si="50"/>
        <v>0</v>
      </c>
      <c r="AC56" s="38">
        <f t="shared" si="51"/>
        <v>0</v>
      </c>
      <c r="AD56" s="38">
        <f t="shared" si="52"/>
        <v>0</v>
      </c>
      <c r="AE56" s="38">
        <f t="shared" si="53"/>
        <v>0</v>
      </c>
      <c r="AF56" s="38">
        <f t="shared" si="54"/>
        <v>0</v>
      </c>
      <c r="AG56" s="38">
        <f t="shared" si="55"/>
        <v>0</v>
      </c>
      <c r="AH56" s="38">
        <f t="shared" si="56"/>
        <v>0</v>
      </c>
      <c r="AI56" s="29" t="s">
        <v>55</v>
      </c>
      <c r="AJ56" s="38">
        <f t="shared" si="57"/>
        <v>0</v>
      </c>
      <c r="AK56" s="38">
        <f t="shared" si="58"/>
        <v>0</v>
      </c>
      <c r="AL56" s="38">
        <f t="shared" si="59"/>
        <v>0</v>
      </c>
      <c r="AN56" s="38">
        <v>0</v>
      </c>
      <c r="AO56" s="38">
        <f>G56*0.017939742</f>
        <v>0</v>
      </c>
      <c r="AP56" s="38">
        <f>G56*(1-0.017939742)</f>
        <v>0</v>
      </c>
      <c r="AQ56" s="41" t="s">
        <v>61</v>
      </c>
      <c r="AV56" s="38">
        <f t="shared" si="60"/>
        <v>0</v>
      </c>
      <c r="AW56" s="38">
        <f t="shared" si="61"/>
        <v>0</v>
      </c>
      <c r="AX56" s="38">
        <f t="shared" si="62"/>
        <v>0</v>
      </c>
      <c r="AY56" s="41" t="s">
        <v>145</v>
      </c>
      <c r="AZ56" s="41" t="s">
        <v>122</v>
      </c>
      <c r="BA56" s="29" t="s">
        <v>64</v>
      </c>
      <c r="BC56" s="38">
        <f t="shared" si="63"/>
        <v>0</v>
      </c>
      <c r="BD56" s="38">
        <f t="shared" si="64"/>
        <v>0</v>
      </c>
      <c r="BE56" s="38">
        <v>0</v>
      </c>
      <c r="BF56" s="38">
        <f>56</f>
        <v>56</v>
      </c>
      <c r="BH56" s="38">
        <f t="shared" si="65"/>
        <v>0</v>
      </c>
      <c r="BI56" s="38">
        <f t="shared" si="66"/>
        <v>0</v>
      </c>
      <c r="BJ56" s="38">
        <f t="shared" si="67"/>
        <v>0</v>
      </c>
      <c r="BK56" s="41" t="s">
        <v>65</v>
      </c>
      <c r="BL56" s="38">
        <v>722</v>
      </c>
      <c r="BW56" s="38">
        <v>0</v>
      </c>
      <c r="BX56" s="26" t="s">
        <v>196</v>
      </c>
    </row>
    <row r="57" spans="1:76" ht="14.4" x14ac:dyDescent="0.3">
      <c r="A57" s="17" t="s">
        <v>197</v>
      </c>
      <c r="B57" s="18" t="s">
        <v>198</v>
      </c>
      <c r="C57" s="61" t="s">
        <v>199</v>
      </c>
      <c r="D57" s="58"/>
      <c r="E57" s="18" t="s">
        <v>69</v>
      </c>
      <c r="F57" s="38">
        <v>5.7</v>
      </c>
      <c r="G57" s="39">
        <v>0</v>
      </c>
      <c r="H57" s="38">
        <f t="shared" si="46"/>
        <v>0</v>
      </c>
      <c r="I57" s="38">
        <f t="shared" si="47"/>
        <v>0</v>
      </c>
      <c r="J57" s="38">
        <f t="shared" si="48"/>
        <v>0</v>
      </c>
      <c r="K57" s="40" t="s">
        <v>60</v>
      </c>
      <c r="Z57" s="38">
        <f t="shared" si="49"/>
        <v>0</v>
      </c>
      <c r="AB57" s="38">
        <f t="shared" si="50"/>
        <v>0</v>
      </c>
      <c r="AC57" s="38">
        <f t="shared" si="51"/>
        <v>0</v>
      </c>
      <c r="AD57" s="38">
        <f t="shared" si="52"/>
        <v>0</v>
      </c>
      <c r="AE57" s="38">
        <f t="shared" si="53"/>
        <v>0</v>
      </c>
      <c r="AF57" s="38">
        <f t="shared" si="54"/>
        <v>0</v>
      </c>
      <c r="AG57" s="38">
        <f t="shared" si="55"/>
        <v>0</v>
      </c>
      <c r="AH57" s="38">
        <f t="shared" si="56"/>
        <v>0</v>
      </c>
      <c r="AI57" s="29" t="s">
        <v>55</v>
      </c>
      <c r="AJ57" s="38">
        <f t="shared" si="57"/>
        <v>0</v>
      </c>
      <c r="AK57" s="38">
        <f t="shared" si="58"/>
        <v>0</v>
      </c>
      <c r="AL57" s="38">
        <f t="shared" si="59"/>
        <v>0</v>
      </c>
      <c r="AN57" s="38">
        <v>0</v>
      </c>
      <c r="AO57" s="38">
        <f>G57*0.016593926</f>
        <v>0</v>
      </c>
      <c r="AP57" s="38">
        <f>G57*(1-0.016593926)</f>
        <v>0</v>
      </c>
      <c r="AQ57" s="41" t="s">
        <v>61</v>
      </c>
      <c r="AV57" s="38">
        <f t="shared" si="60"/>
        <v>0</v>
      </c>
      <c r="AW57" s="38">
        <f t="shared" si="61"/>
        <v>0</v>
      </c>
      <c r="AX57" s="38">
        <f t="shared" si="62"/>
        <v>0</v>
      </c>
      <c r="AY57" s="41" t="s">
        <v>145</v>
      </c>
      <c r="AZ57" s="41" t="s">
        <v>122</v>
      </c>
      <c r="BA57" s="29" t="s">
        <v>64</v>
      </c>
      <c r="BC57" s="38">
        <f t="shared" si="63"/>
        <v>0</v>
      </c>
      <c r="BD57" s="38">
        <f t="shared" si="64"/>
        <v>0</v>
      </c>
      <c r="BE57" s="38">
        <v>0</v>
      </c>
      <c r="BF57" s="38">
        <f>57</f>
        <v>57</v>
      </c>
      <c r="BH57" s="38">
        <f t="shared" si="65"/>
        <v>0</v>
      </c>
      <c r="BI57" s="38">
        <f t="shared" si="66"/>
        <v>0</v>
      </c>
      <c r="BJ57" s="38">
        <f t="shared" si="67"/>
        <v>0</v>
      </c>
      <c r="BK57" s="41" t="s">
        <v>65</v>
      </c>
      <c r="BL57" s="38">
        <v>722</v>
      </c>
      <c r="BW57" s="38">
        <v>0</v>
      </c>
      <c r="BX57" s="26" t="s">
        <v>199</v>
      </c>
    </row>
    <row r="58" spans="1:76" ht="14.4" x14ac:dyDescent="0.3">
      <c r="A58" s="17" t="s">
        <v>200</v>
      </c>
      <c r="B58" s="18" t="s">
        <v>201</v>
      </c>
      <c r="C58" s="61" t="s">
        <v>202</v>
      </c>
      <c r="D58" s="58"/>
      <c r="E58" s="18" t="s">
        <v>69</v>
      </c>
      <c r="F58" s="38">
        <v>700.2</v>
      </c>
      <c r="G58" s="39">
        <v>0</v>
      </c>
      <c r="H58" s="38">
        <f t="shared" si="46"/>
        <v>0</v>
      </c>
      <c r="I58" s="38">
        <f t="shared" si="47"/>
        <v>0</v>
      </c>
      <c r="J58" s="38">
        <f t="shared" si="48"/>
        <v>0</v>
      </c>
      <c r="K58" s="40" t="s">
        <v>60</v>
      </c>
      <c r="Z58" s="38">
        <f t="shared" si="49"/>
        <v>0</v>
      </c>
      <c r="AB58" s="38">
        <f t="shared" si="50"/>
        <v>0</v>
      </c>
      <c r="AC58" s="38">
        <f t="shared" si="51"/>
        <v>0</v>
      </c>
      <c r="AD58" s="38">
        <f t="shared" si="52"/>
        <v>0</v>
      </c>
      <c r="AE58" s="38">
        <f t="shared" si="53"/>
        <v>0</v>
      </c>
      <c r="AF58" s="38">
        <f t="shared" si="54"/>
        <v>0</v>
      </c>
      <c r="AG58" s="38">
        <f t="shared" si="55"/>
        <v>0</v>
      </c>
      <c r="AH58" s="38">
        <f t="shared" si="56"/>
        <v>0</v>
      </c>
      <c r="AI58" s="29" t="s">
        <v>55</v>
      </c>
      <c r="AJ58" s="38">
        <f t="shared" si="57"/>
        <v>0</v>
      </c>
      <c r="AK58" s="38">
        <f t="shared" si="58"/>
        <v>0</v>
      </c>
      <c r="AL58" s="38">
        <f t="shared" si="59"/>
        <v>0</v>
      </c>
      <c r="AN58" s="38">
        <v>0</v>
      </c>
      <c r="AO58" s="38">
        <f>G58*0.182424242</f>
        <v>0</v>
      </c>
      <c r="AP58" s="38">
        <f>G58*(1-0.182424242)</f>
        <v>0</v>
      </c>
      <c r="AQ58" s="41" t="s">
        <v>61</v>
      </c>
      <c r="AV58" s="38">
        <f t="shared" si="60"/>
        <v>0</v>
      </c>
      <c r="AW58" s="38">
        <f t="shared" si="61"/>
        <v>0</v>
      </c>
      <c r="AX58" s="38">
        <f t="shared" si="62"/>
        <v>0</v>
      </c>
      <c r="AY58" s="41" t="s">
        <v>145</v>
      </c>
      <c r="AZ58" s="41" t="s">
        <v>122</v>
      </c>
      <c r="BA58" s="29" t="s">
        <v>64</v>
      </c>
      <c r="BC58" s="38">
        <f t="shared" si="63"/>
        <v>0</v>
      </c>
      <c r="BD58" s="38">
        <f t="shared" si="64"/>
        <v>0</v>
      </c>
      <c r="BE58" s="38">
        <v>0</v>
      </c>
      <c r="BF58" s="38">
        <f>58</f>
        <v>58</v>
      </c>
      <c r="BH58" s="38">
        <f t="shared" si="65"/>
        <v>0</v>
      </c>
      <c r="BI58" s="38">
        <f t="shared" si="66"/>
        <v>0</v>
      </c>
      <c r="BJ58" s="38">
        <f t="shared" si="67"/>
        <v>0</v>
      </c>
      <c r="BK58" s="41" t="s">
        <v>65</v>
      </c>
      <c r="BL58" s="38">
        <v>722</v>
      </c>
      <c r="BW58" s="38">
        <v>0</v>
      </c>
      <c r="BX58" s="26" t="s">
        <v>202</v>
      </c>
    </row>
    <row r="59" spans="1:76" ht="14.4" x14ac:dyDescent="0.3">
      <c r="A59" s="17" t="s">
        <v>203</v>
      </c>
      <c r="B59" s="18" t="s">
        <v>204</v>
      </c>
      <c r="C59" s="61" t="s">
        <v>205</v>
      </c>
      <c r="D59" s="58"/>
      <c r="E59" s="18" t="s">
        <v>112</v>
      </c>
      <c r="F59" s="38">
        <v>3.7970000000000002</v>
      </c>
      <c r="G59" s="39">
        <v>0</v>
      </c>
      <c r="H59" s="38">
        <f t="shared" si="46"/>
        <v>0</v>
      </c>
      <c r="I59" s="38">
        <f t="shared" si="47"/>
        <v>0</v>
      </c>
      <c r="J59" s="38">
        <f t="shared" si="48"/>
        <v>0</v>
      </c>
      <c r="K59" s="40" t="s">
        <v>60</v>
      </c>
      <c r="Z59" s="38">
        <f t="shared" si="49"/>
        <v>0</v>
      </c>
      <c r="AB59" s="38">
        <f t="shared" si="50"/>
        <v>0</v>
      </c>
      <c r="AC59" s="38">
        <f t="shared" si="51"/>
        <v>0</v>
      </c>
      <c r="AD59" s="38">
        <f t="shared" si="52"/>
        <v>0</v>
      </c>
      <c r="AE59" s="38">
        <f t="shared" si="53"/>
        <v>0</v>
      </c>
      <c r="AF59" s="38">
        <f t="shared" si="54"/>
        <v>0</v>
      </c>
      <c r="AG59" s="38">
        <f t="shared" si="55"/>
        <v>0</v>
      </c>
      <c r="AH59" s="38">
        <f t="shared" si="56"/>
        <v>0</v>
      </c>
      <c r="AI59" s="29" t="s">
        <v>55</v>
      </c>
      <c r="AJ59" s="38">
        <f t="shared" si="57"/>
        <v>0</v>
      </c>
      <c r="AK59" s="38">
        <f t="shared" si="58"/>
        <v>0</v>
      </c>
      <c r="AL59" s="38">
        <f t="shared" si="59"/>
        <v>0</v>
      </c>
      <c r="AN59" s="38">
        <v>0</v>
      </c>
      <c r="AO59" s="38">
        <f>G59*0</f>
        <v>0</v>
      </c>
      <c r="AP59" s="38">
        <f>G59*(1-0)</f>
        <v>0</v>
      </c>
      <c r="AQ59" s="41" t="s">
        <v>76</v>
      </c>
      <c r="AV59" s="38">
        <f t="shared" si="60"/>
        <v>0</v>
      </c>
      <c r="AW59" s="38">
        <f t="shared" si="61"/>
        <v>0</v>
      </c>
      <c r="AX59" s="38">
        <f t="shared" si="62"/>
        <v>0</v>
      </c>
      <c r="AY59" s="41" t="s">
        <v>145</v>
      </c>
      <c r="AZ59" s="41" t="s">
        <v>122</v>
      </c>
      <c r="BA59" s="29" t="s">
        <v>64</v>
      </c>
      <c r="BC59" s="38">
        <f t="shared" si="63"/>
        <v>0</v>
      </c>
      <c r="BD59" s="38">
        <f t="shared" si="64"/>
        <v>0</v>
      </c>
      <c r="BE59" s="38">
        <v>0</v>
      </c>
      <c r="BF59" s="38">
        <f>59</f>
        <v>59</v>
      </c>
      <c r="BH59" s="38">
        <f t="shared" si="65"/>
        <v>0</v>
      </c>
      <c r="BI59" s="38">
        <f t="shared" si="66"/>
        <v>0</v>
      </c>
      <c r="BJ59" s="38">
        <f t="shared" si="67"/>
        <v>0</v>
      </c>
      <c r="BK59" s="41" t="s">
        <v>65</v>
      </c>
      <c r="BL59" s="38">
        <v>722</v>
      </c>
      <c r="BW59" s="38">
        <v>0</v>
      </c>
      <c r="BX59" s="26" t="s">
        <v>205</v>
      </c>
    </row>
    <row r="60" spans="1:76" ht="14.4" x14ac:dyDescent="0.3">
      <c r="A60" s="17" t="s">
        <v>206</v>
      </c>
      <c r="B60" s="18" t="s">
        <v>207</v>
      </c>
      <c r="C60" s="61" t="s">
        <v>208</v>
      </c>
      <c r="D60" s="58"/>
      <c r="E60" s="18" t="s">
        <v>112</v>
      </c>
      <c r="F60" s="38">
        <v>3.7970000000000002</v>
      </c>
      <c r="G60" s="39">
        <v>0</v>
      </c>
      <c r="H60" s="38">
        <f t="shared" si="46"/>
        <v>0</v>
      </c>
      <c r="I60" s="38">
        <f t="shared" si="47"/>
        <v>0</v>
      </c>
      <c r="J60" s="38">
        <f t="shared" si="48"/>
        <v>0</v>
      </c>
      <c r="K60" s="40" t="s">
        <v>60</v>
      </c>
      <c r="Z60" s="38">
        <f t="shared" si="49"/>
        <v>0</v>
      </c>
      <c r="AB60" s="38">
        <f t="shared" si="50"/>
        <v>0</v>
      </c>
      <c r="AC60" s="38">
        <f t="shared" si="51"/>
        <v>0</v>
      </c>
      <c r="AD60" s="38">
        <f t="shared" si="52"/>
        <v>0</v>
      </c>
      <c r="AE60" s="38">
        <f t="shared" si="53"/>
        <v>0</v>
      </c>
      <c r="AF60" s="38">
        <f t="shared" si="54"/>
        <v>0</v>
      </c>
      <c r="AG60" s="38">
        <f t="shared" si="55"/>
        <v>0</v>
      </c>
      <c r="AH60" s="38">
        <f t="shared" si="56"/>
        <v>0</v>
      </c>
      <c r="AI60" s="29" t="s">
        <v>55</v>
      </c>
      <c r="AJ60" s="38">
        <f t="shared" si="57"/>
        <v>0</v>
      </c>
      <c r="AK60" s="38">
        <f t="shared" si="58"/>
        <v>0</v>
      </c>
      <c r="AL60" s="38">
        <f t="shared" si="59"/>
        <v>0</v>
      </c>
      <c r="AN60" s="38">
        <v>0</v>
      </c>
      <c r="AO60" s="38">
        <f>G60*0</f>
        <v>0</v>
      </c>
      <c r="AP60" s="38">
        <f>G60*(1-0)</f>
        <v>0</v>
      </c>
      <c r="AQ60" s="41" t="s">
        <v>76</v>
      </c>
      <c r="AV60" s="38">
        <f t="shared" si="60"/>
        <v>0</v>
      </c>
      <c r="AW60" s="38">
        <f t="shared" si="61"/>
        <v>0</v>
      </c>
      <c r="AX60" s="38">
        <f t="shared" si="62"/>
        <v>0</v>
      </c>
      <c r="AY60" s="41" t="s">
        <v>145</v>
      </c>
      <c r="AZ60" s="41" t="s">
        <v>122</v>
      </c>
      <c r="BA60" s="29" t="s">
        <v>64</v>
      </c>
      <c r="BC60" s="38">
        <f t="shared" si="63"/>
        <v>0</v>
      </c>
      <c r="BD60" s="38">
        <f t="shared" si="64"/>
        <v>0</v>
      </c>
      <c r="BE60" s="38">
        <v>0</v>
      </c>
      <c r="BF60" s="38">
        <f>60</f>
        <v>60</v>
      </c>
      <c r="BH60" s="38">
        <f t="shared" si="65"/>
        <v>0</v>
      </c>
      <c r="BI60" s="38">
        <f t="shared" si="66"/>
        <v>0</v>
      </c>
      <c r="BJ60" s="38">
        <f t="shared" si="67"/>
        <v>0</v>
      </c>
      <c r="BK60" s="41" t="s">
        <v>65</v>
      </c>
      <c r="BL60" s="38">
        <v>722</v>
      </c>
      <c r="BW60" s="38">
        <v>0</v>
      </c>
      <c r="BX60" s="26" t="s">
        <v>208</v>
      </c>
    </row>
    <row r="61" spans="1:76" ht="14.4" x14ac:dyDescent="0.3">
      <c r="A61" s="17" t="s">
        <v>209</v>
      </c>
      <c r="B61" s="18" t="s">
        <v>210</v>
      </c>
      <c r="C61" s="61" t="s">
        <v>211</v>
      </c>
      <c r="D61" s="58"/>
      <c r="E61" s="18" t="s">
        <v>126</v>
      </c>
      <c r="F61" s="38">
        <v>9</v>
      </c>
      <c r="G61" s="39">
        <v>0</v>
      </c>
      <c r="H61" s="38">
        <f t="shared" si="46"/>
        <v>0</v>
      </c>
      <c r="I61" s="38">
        <f t="shared" si="47"/>
        <v>0</v>
      </c>
      <c r="J61" s="38">
        <f t="shared" si="48"/>
        <v>0</v>
      </c>
      <c r="K61" s="40" t="s">
        <v>60</v>
      </c>
      <c r="Z61" s="38">
        <f t="shared" si="49"/>
        <v>0</v>
      </c>
      <c r="AB61" s="38">
        <f t="shared" si="50"/>
        <v>0</v>
      </c>
      <c r="AC61" s="38">
        <f t="shared" si="51"/>
        <v>0</v>
      </c>
      <c r="AD61" s="38">
        <f t="shared" si="52"/>
        <v>0</v>
      </c>
      <c r="AE61" s="38">
        <f t="shared" si="53"/>
        <v>0</v>
      </c>
      <c r="AF61" s="38">
        <f t="shared" si="54"/>
        <v>0</v>
      </c>
      <c r="AG61" s="38">
        <f t="shared" si="55"/>
        <v>0</v>
      </c>
      <c r="AH61" s="38">
        <f t="shared" si="56"/>
        <v>0</v>
      </c>
      <c r="AI61" s="29" t="s">
        <v>55</v>
      </c>
      <c r="AJ61" s="38">
        <f t="shared" si="57"/>
        <v>0</v>
      </c>
      <c r="AK61" s="38">
        <f t="shared" si="58"/>
        <v>0</v>
      </c>
      <c r="AL61" s="38">
        <f t="shared" si="59"/>
        <v>0</v>
      </c>
      <c r="AN61" s="38">
        <v>0</v>
      </c>
      <c r="AO61" s="38">
        <f>G61*0.759666154</f>
        <v>0</v>
      </c>
      <c r="AP61" s="38">
        <f>G61*(1-0.759666154)</f>
        <v>0</v>
      </c>
      <c r="AQ61" s="41" t="s">
        <v>61</v>
      </c>
      <c r="AV61" s="38">
        <f t="shared" si="60"/>
        <v>0</v>
      </c>
      <c r="AW61" s="38">
        <f t="shared" si="61"/>
        <v>0</v>
      </c>
      <c r="AX61" s="38">
        <f t="shared" si="62"/>
        <v>0</v>
      </c>
      <c r="AY61" s="41" t="s">
        <v>145</v>
      </c>
      <c r="AZ61" s="41" t="s">
        <v>122</v>
      </c>
      <c r="BA61" s="29" t="s">
        <v>64</v>
      </c>
      <c r="BC61" s="38">
        <f t="shared" si="63"/>
        <v>0</v>
      </c>
      <c r="BD61" s="38">
        <f t="shared" si="64"/>
        <v>0</v>
      </c>
      <c r="BE61" s="38">
        <v>0</v>
      </c>
      <c r="BF61" s="38">
        <f>61</f>
        <v>61</v>
      </c>
      <c r="BH61" s="38">
        <f t="shared" si="65"/>
        <v>0</v>
      </c>
      <c r="BI61" s="38">
        <f t="shared" si="66"/>
        <v>0</v>
      </c>
      <c r="BJ61" s="38">
        <f t="shared" si="67"/>
        <v>0</v>
      </c>
      <c r="BK61" s="41" t="s">
        <v>65</v>
      </c>
      <c r="BL61" s="38">
        <v>722</v>
      </c>
      <c r="BW61" s="38">
        <v>0</v>
      </c>
      <c r="BX61" s="26" t="s">
        <v>211</v>
      </c>
    </row>
    <row r="62" spans="1:76" ht="14.4" x14ac:dyDescent="0.3">
      <c r="A62" s="17" t="s">
        <v>212</v>
      </c>
      <c r="B62" s="18" t="s">
        <v>213</v>
      </c>
      <c r="C62" s="61" t="s">
        <v>214</v>
      </c>
      <c r="D62" s="58"/>
      <c r="E62" s="18" t="s">
        <v>126</v>
      </c>
      <c r="F62" s="38">
        <v>4</v>
      </c>
      <c r="G62" s="39">
        <v>0</v>
      </c>
      <c r="H62" s="38">
        <f t="shared" si="46"/>
        <v>0</v>
      </c>
      <c r="I62" s="38">
        <f t="shared" si="47"/>
        <v>0</v>
      </c>
      <c r="J62" s="38">
        <f t="shared" si="48"/>
        <v>0</v>
      </c>
      <c r="K62" s="40" t="s">
        <v>60</v>
      </c>
      <c r="Z62" s="38">
        <f t="shared" si="49"/>
        <v>0</v>
      </c>
      <c r="AB62" s="38">
        <f t="shared" si="50"/>
        <v>0</v>
      </c>
      <c r="AC62" s="38">
        <f t="shared" si="51"/>
        <v>0</v>
      </c>
      <c r="AD62" s="38">
        <f t="shared" si="52"/>
        <v>0</v>
      </c>
      <c r="AE62" s="38">
        <f t="shared" si="53"/>
        <v>0</v>
      </c>
      <c r="AF62" s="38">
        <f t="shared" si="54"/>
        <v>0</v>
      </c>
      <c r="AG62" s="38">
        <f t="shared" si="55"/>
        <v>0</v>
      </c>
      <c r="AH62" s="38">
        <f t="shared" si="56"/>
        <v>0</v>
      </c>
      <c r="AI62" s="29" t="s">
        <v>55</v>
      </c>
      <c r="AJ62" s="38">
        <f t="shared" si="57"/>
        <v>0</v>
      </c>
      <c r="AK62" s="38">
        <f t="shared" si="58"/>
        <v>0</v>
      </c>
      <c r="AL62" s="38">
        <f t="shared" si="59"/>
        <v>0</v>
      </c>
      <c r="AN62" s="38">
        <v>0</v>
      </c>
      <c r="AO62" s="38">
        <f>G62*0.782455583</f>
        <v>0</v>
      </c>
      <c r="AP62" s="38">
        <f>G62*(1-0.782455583)</f>
        <v>0</v>
      </c>
      <c r="AQ62" s="41" t="s">
        <v>61</v>
      </c>
      <c r="AV62" s="38">
        <f t="shared" si="60"/>
        <v>0</v>
      </c>
      <c r="AW62" s="38">
        <f t="shared" si="61"/>
        <v>0</v>
      </c>
      <c r="AX62" s="38">
        <f t="shared" si="62"/>
        <v>0</v>
      </c>
      <c r="AY62" s="41" t="s">
        <v>145</v>
      </c>
      <c r="AZ62" s="41" t="s">
        <v>122</v>
      </c>
      <c r="BA62" s="29" t="s">
        <v>64</v>
      </c>
      <c r="BC62" s="38">
        <f t="shared" si="63"/>
        <v>0</v>
      </c>
      <c r="BD62" s="38">
        <f t="shared" si="64"/>
        <v>0</v>
      </c>
      <c r="BE62" s="38">
        <v>0</v>
      </c>
      <c r="BF62" s="38">
        <f>62</f>
        <v>62</v>
      </c>
      <c r="BH62" s="38">
        <f t="shared" si="65"/>
        <v>0</v>
      </c>
      <c r="BI62" s="38">
        <f t="shared" si="66"/>
        <v>0</v>
      </c>
      <c r="BJ62" s="38">
        <f t="shared" si="67"/>
        <v>0</v>
      </c>
      <c r="BK62" s="41" t="s">
        <v>65</v>
      </c>
      <c r="BL62" s="38">
        <v>722</v>
      </c>
      <c r="BW62" s="38">
        <v>0</v>
      </c>
      <c r="BX62" s="26" t="s">
        <v>214</v>
      </c>
    </row>
    <row r="63" spans="1:76" ht="14.4" x14ac:dyDescent="0.3">
      <c r="A63" s="17" t="s">
        <v>215</v>
      </c>
      <c r="B63" s="18" t="s">
        <v>216</v>
      </c>
      <c r="C63" s="61" t="s">
        <v>217</v>
      </c>
      <c r="D63" s="58"/>
      <c r="E63" s="18" t="s">
        <v>126</v>
      </c>
      <c r="F63" s="38">
        <v>1</v>
      </c>
      <c r="G63" s="39">
        <v>0</v>
      </c>
      <c r="H63" s="38">
        <f t="shared" si="46"/>
        <v>0</v>
      </c>
      <c r="I63" s="38">
        <f t="shared" si="47"/>
        <v>0</v>
      </c>
      <c r="J63" s="38">
        <f t="shared" si="48"/>
        <v>0</v>
      </c>
      <c r="K63" s="40" t="s">
        <v>60</v>
      </c>
      <c r="Z63" s="38">
        <f t="shared" si="49"/>
        <v>0</v>
      </c>
      <c r="AB63" s="38">
        <f t="shared" si="50"/>
        <v>0</v>
      </c>
      <c r="AC63" s="38">
        <f t="shared" si="51"/>
        <v>0</v>
      </c>
      <c r="AD63" s="38">
        <f t="shared" si="52"/>
        <v>0</v>
      </c>
      <c r="AE63" s="38">
        <f t="shared" si="53"/>
        <v>0</v>
      </c>
      <c r="AF63" s="38">
        <f t="shared" si="54"/>
        <v>0</v>
      </c>
      <c r="AG63" s="38">
        <f t="shared" si="55"/>
        <v>0</v>
      </c>
      <c r="AH63" s="38">
        <f t="shared" si="56"/>
        <v>0</v>
      </c>
      <c r="AI63" s="29" t="s">
        <v>55</v>
      </c>
      <c r="AJ63" s="38">
        <f t="shared" si="57"/>
        <v>0</v>
      </c>
      <c r="AK63" s="38">
        <f t="shared" si="58"/>
        <v>0</v>
      </c>
      <c r="AL63" s="38">
        <f t="shared" si="59"/>
        <v>0</v>
      </c>
      <c r="AN63" s="38">
        <v>0</v>
      </c>
      <c r="AO63" s="38">
        <f>G63*0.810235819</f>
        <v>0</v>
      </c>
      <c r="AP63" s="38">
        <f>G63*(1-0.810235819)</f>
        <v>0</v>
      </c>
      <c r="AQ63" s="41" t="s">
        <v>61</v>
      </c>
      <c r="AV63" s="38">
        <f t="shared" si="60"/>
        <v>0</v>
      </c>
      <c r="AW63" s="38">
        <f t="shared" si="61"/>
        <v>0</v>
      </c>
      <c r="AX63" s="38">
        <f t="shared" si="62"/>
        <v>0</v>
      </c>
      <c r="AY63" s="41" t="s">
        <v>145</v>
      </c>
      <c r="AZ63" s="41" t="s">
        <v>122</v>
      </c>
      <c r="BA63" s="29" t="s">
        <v>64</v>
      </c>
      <c r="BC63" s="38">
        <f t="shared" si="63"/>
        <v>0</v>
      </c>
      <c r="BD63" s="38">
        <f t="shared" si="64"/>
        <v>0</v>
      </c>
      <c r="BE63" s="38">
        <v>0</v>
      </c>
      <c r="BF63" s="38">
        <f>63</f>
        <v>63</v>
      </c>
      <c r="BH63" s="38">
        <f t="shared" si="65"/>
        <v>0</v>
      </c>
      <c r="BI63" s="38">
        <f t="shared" si="66"/>
        <v>0</v>
      </c>
      <c r="BJ63" s="38">
        <f t="shared" si="67"/>
        <v>0</v>
      </c>
      <c r="BK63" s="41" t="s">
        <v>65</v>
      </c>
      <c r="BL63" s="38">
        <v>722</v>
      </c>
      <c r="BW63" s="38">
        <v>0</v>
      </c>
      <c r="BX63" s="26" t="s">
        <v>217</v>
      </c>
    </row>
    <row r="64" spans="1:76" ht="14.4" x14ac:dyDescent="0.3">
      <c r="A64" s="17" t="s">
        <v>218</v>
      </c>
      <c r="B64" s="18" t="s">
        <v>219</v>
      </c>
      <c r="C64" s="61" t="s">
        <v>220</v>
      </c>
      <c r="D64" s="58"/>
      <c r="E64" s="18" t="s">
        <v>126</v>
      </c>
      <c r="F64" s="38">
        <v>3</v>
      </c>
      <c r="G64" s="39">
        <v>0</v>
      </c>
      <c r="H64" s="38">
        <f t="shared" si="46"/>
        <v>0</v>
      </c>
      <c r="I64" s="38">
        <f t="shared" si="47"/>
        <v>0</v>
      </c>
      <c r="J64" s="38">
        <f t="shared" si="48"/>
        <v>0</v>
      </c>
      <c r="K64" s="40" t="s">
        <v>60</v>
      </c>
      <c r="Z64" s="38">
        <f t="shared" si="49"/>
        <v>0</v>
      </c>
      <c r="AB64" s="38">
        <f t="shared" si="50"/>
        <v>0</v>
      </c>
      <c r="AC64" s="38">
        <f t="shared" si="51"/>
        <v>0</v>
      </c>
      <c r="AD64" s="38">
        <f t="shared" si="52"/>
        <v>0</v>
      </c>
      <c r="AE64" s="38">
        <f t="shared" si="53"/>
        <v>0</v>
      </c>
      <c r="AF64" s="38">
        <f t="shared" si="54"/>
        <v>0</v>
      </c>
      <c r="AG64" s="38">
        <f t="shared" si="55"/>
        <v>0</v>
      </c>
      <c r="AH64" s="38">
        <f t="shared" si="56"/>
        <v>0</v>
      </c>
      <c r="AI64" s="29" t="s">
        <v>55</v>
      </c>
      <c r="AJ64" s="38">
        <f t="shared" si="57"/>
        <v>0</v>
      </c>
      <c r="AK64" s="38">
        <f t="shared" si="58"/>
        <v>0</v>
      </c>
      <c r="AL64" s="38">
        <f t="shared" si="59"/>
        <v>0</v>
      </c>
      <c r="AN64" s="38">
        <v>0</v>
      </c>
      <c r="AO64" s="38">
        <f>G64*0.827098398</f>
        <v>0</v>
      </c>
      <c r="AP64" s="38">
        <f>G64*(1-0.827098398)</f>
        <v>0</v>
      </c>
      <c r="AQ64" s="41" t="s">
        <v>61</v>
      </c>
      <c r="AV64" s="38">
        <f t="shared" si="60"/>
        <v>0</v>
      </c>
      <c r="AW64" s="38">
        <f t="shared" si="61"/>
        <v>0</v>
      </c>
      <c r="AX64" s="38">
        <f t="shared" si="62"/>
        <v>0</v>
      </c>
      <c r="AY64" s="41" t="s">
        <v>145</v>
      </c>
      <c r="AZ64" s="41" t="s">
        <v>122</v>
      </c>
      <c r="BA64" s="29" t="s">
        <v>64</v>
      </c>
      <c r="BC64" s="38">
        <f t="shared" si="63"/>
        <v>0</v>
      </c>
      <c r="BD64" s="38">
        <f t="shared" si="64"/>
        <v>0</v>
      </c>
      <c r="BE64" s="38">
        <v>0</v>
      </c>
      <c r="BF64" s="38">
        <f>64</f>
        <v>64</v>
      </c>
      <c r="BH64" s="38">
        <f t="shared" si="65"/>
        <v>0</v>
      </c>
      <c r="BI64" s="38">
        <f t="shared" si="66"/>
        <v>0</v>
      </c>
      <c r="BJ64" s="38">
        <f t="shared" si="67"/>
        <v>0</v>
      </c>
      <c r="BK64" s="41" t="s">
        <v>65</v>
      </c>
      <c r="BL64" s="38">
        <v>722</v>
      </c>
      <c r="BW64" s="38">
        <v>0</v>
      </c>
      <c r="BX64" s="26" t="s">
        <v>220</v>
      </c>
    </row>
    <row r="65" spans="1:76" ht="14.4" x14ac:dyDescent="0.3">
      <c r="A65" s="34" t="s">
        <v>51</v>
      </c>
      <c r="B65" s="35" t="s">
        <v>221</v>
      </c>
      <c r="C65" s="78" t="s">
        <v>222</v>
      </c>
      <c r="D65" s="79"/>
      <c r="E65" s="36" t="s">
        <v>4</v>
      </c>
      <c r="F65" s="36" t="s">
        <v>4</v>
      </c>
      <c r="G65" s="25" t="s">
        <v>4</v>
      </c>
      <c r="H65" s="24">
        <f>SUM(H66:H66)</f>
        <v>0</v>
      </c>
      <c r="I65" s="24">
        <f>SUM(I66:I66)</f>
        <v>0</v>
      </c>
      <c r="J65" s="24">
        <f>SUM(J66:J66)</f>
        <v>0</v>
      </c>
      <c r="K65" s="37" t="s">
        <v>51</v>
      </c>
      <c r="AI65" s="29" t="s">
        <v>55</v>
      </c>
      <c r="AS65" s="24">
        <f>SUM(AJ66:AJ66)</f>
        <v>0</v>
      </c>
      <c r="AT65" s="24">
        <f>SUM(AK66:AK66)</f>
        <v>0</v>
      </c>
      <c r="AU65" s="24">
        <f>SUM(AL66:AL66)</f>
        <v>0</v>
      </c>
    </row>
    <row r="66" spans="1:76" ht="14.4" x14ac:dyDescent="0.3">
      <c r="A66" s="17" t="s">
        <v>223</v>
      </c>
      <c r="B66" s="18" t="s">
        <v>224</v>
      </c>
      <c r="C66" s="61" t="s">
        <v>225</v>
      </c>
      <c r="D66" s="58"/>
      <c r="E66" s="18" t="s">
        <v>69</v>
      </c>
      <c r="F66" s="38">
        <v>20</v>
      </c>
      <c r="G66" s="39">
        <v>0</v>
      </c>
      <c r="H66" s="38">
        <f>ROUND(F66*AO66,2)</f>
        <v>0</v>
      </c>
      <c r="I66" s="38">
        <f>ROUND(F66*AP66,2)</f>
        <v>0</v>
      </c>
      <c r="J66" s="38">
        <f>ROUND(F66*G66,2)</f>
        <v>0</v>
      </c>
      <c r="K66" s="40" t="s">
        <v>60</v>
      </c>
      <c r="Z66" s="38">
        <f>ROUND(IF(AQ66="5",BJ66,0),2)</f>
        <v>0</v>
      </c>
      <c r="AB66" s="38">
        <f>ROUND(IF(AQ66="1",BH66,0),2)</f>
        <v>0</v>
      </c>
      <c r="AC66" s="38">
        <f>ROUND(IF(AQ66="1",BI66,0),2)</f>
        <v>0</v>
      </c>
      <c r="AD66" s="38">
        <f>ROUND(IF(AQ66="7",BH66,0),2)</f>
        <v>0</v>
      </c>
      <c r="AE66" s="38">
        <f>ROUND(IF(AQ66="7",BI66,0),2)</f>
        <v>0</v>
      </c>
      <c r="AF66" s="38">
        <f>ROUND(IF(AQ66="2",BH66,0),2)</f>
        <v>0</v>
      </c>
      <c r="AG66" s="38">
        <f>ROUND(IF(AQ66="2",BI66,0),2)</f>
        <v>0</v>
      </c>
      <c r="AH66" s="38">
        <f>ROUND(IF(AQ66="0",BJ66,0),2)</f>
        <v>0</v>
      </c>
      <c r="AI66" s="29" t="s">
        <v>55</v>
      </c>
      <c r="AJ66" s="38">
        <f>IF(AN66=0,J66,0)</f>
        <v>0</v>
      </c>
      <c r="AK66" s="38">
        <f>IF(AN66=12,J66,0)</f>
        <v>0</v>
      </c>
      <c r="AL66" s="38">
        <f>IF(AN66=21,J66,0)</f>
        <v>0</v>
      </c>
      <c r="AN66" s="38">
        <v>0</v>
      </c>
      <c r="AO66" s="38">
        <f>G66*0.859222615</f>
        <v>0</v>
      </c>
      <c r="AP66" s="38">
        <f>G66*(1-0.859222615)</f>
        <v>0</v>
      </c>
      <c r="AQ66" s="41" t="s">
        <v>61</v>
      </c>
      <c r="AV66" s="38">
        <f>ROUND(AW66+AX66,2)</f>
        <v>0</v>
      </c>
      <c r="AW66" s="38">
        <f>ROUND(F66*AO66,2)</f>
        <v>0</v>
      </c>
      <c r="AX66" s="38">
        <f>ROUND(F66*AP66,2)</f>
        <v>0</v>
      </c>
      <c r="AY66" s="41" t="s">
        <v>226</v>
      </c>
      <c r="AZ66" s="41" t="s">
        <v>227</v>
      </c>
      <c r="BA66" s="29" t="s">
        <v>64</v>
      </c>
      <c r="BC66" s="38">
        <f>AW66+AX66</f>
        <v>0</v>
      </c>
      <c r="BD66" s="38">
        <f>G66/(100-BE66)*100</f>
        <v>0</v>
      </c>
      <c r="BE66" s="38">
        <v>0</v>
      </c>
      <c r="BF66" s="38">
        <f>66</f>
        <v>66</v>
      </c>
      <c r="BH66" s="38">
        <f>F66*AO66</f>
        <v>0</v>
      </c>
      <c r="BI66" s="38">
        <f>F66*AP66</f>
        <v>0</v>
      </c>
      <c r="BJ66" s="38">
        <f>F66*G66</f>
        <v>0</v>
      </c>
      <c r="BK66" s="41" t="s">
        <v>65</v>
      </c>
      <c r="BL66" s="38">
        <v>731</v>
      </c>
      <c r="BW66" s="38">
        <v>0</v>
      </c>
      <c r="BX66" s="26" t="s">
        <v>225</v>
      </c>
    </row>
    <row r="67" spans="1:76" ht="14.4" x14ac:dyDescent="0.3">
      <c r="A67" s="34" t="s">
        <v>51</v>
      </c>
      <c r="B67" s="35" t="s">
        <v>228</v>
      </c>
      <c r="C67" s="78" t="s">
        <v>229</v>
      </c>
      <c r="D67" s="79"/>
      <c r="E67" s="36" t="s">
        <v>4</v>
      </c>
      <c r="F67" s="36" t="s">
        <v>4</v>
      </c>
      <c r="G67" s="25" t="s">
        <v>4</v>
      </c>
      <c r="H67" s="24">
        <f>SUM(H68:H71)</f>
        <v>0</v>
      </c>
      <c r="I67" s="24">
        <f>SUM(I68:I71)</f>
        <v>0</v>
      </c>
      <c r="J67" s="24">
        <f>SUM(J68:J71)</f>
        <v>0</v>
      </c>
      <c r="K67" s="37" t="s">
        <v>51</v>
      </c>
      <c r="AI67" s="29" t="s">
        <v>55</v>
      </c>
      <c r="AS67" s="24">
        <f>SUM(AJ68:AJ71)</f>
        <v>0</v>
      </c>
      <c r="AT67" s="24">
        <f>SUM(AK68:AK71)</f>
        <v>0</v>
      </c>
      <c r="AU67" s="24">
        <f>SUM(AL68:AL71)</f>
        <v>0</v>
      </c>
    </row>
    <row r="68" spans="1:76" ht="14.4" x14ac:dyDescent="0.3">
      <c r="A68" s="17" t="s">
        <v>230</v>
      </c>
      <c r="B68" s="18" t="s">
        <v>231</v>
      </c>
      <c r="C68" s="61" t="s">
        <v>232</v>
      </c>
      <c r="D68" s="58"/>
      <c r="E68" s="18" t="s">
        <v>133</v>
      </c>
      <c r="F68" s="38">
        <v>1</v>
      </c>
      <c r="G68" s="39">
        <v>0</v>
      </c>
      <c r="H68" s="38">
        <f>ROUND(F68*AO68,2)</f>
        <v>0</v>
      </c>
      <c r="I68" s="38">
        <f>ROUND(F68*AP68,2)</f>
        <v>0</v>
      </c>
      <c r="J68" s="38">
        <f>ROUND(F68*G68,2)</f>
        <v>0</v>
      </c>
      <c r="K68" s="40" t="s">
        <v>51</v>
      </c>
      <c r="Z68" s="38">
        <f>ROUND(IF(AQ68="5",BJ68,0),2)</f>
        <v>0</v>
      </c>
      <c r="AB68" s="38">
        <f>ROUND(IF(AQ68="1",BH68,0),2)</f>
        <v>0</v>
      </c>
      <c r="AC68" s="38">
        <f>ROUND(IF(AQ68="1",BI68,0),2)</f>
        <v>0</v>
      </c>
      <c r="AD68" s="38">
        <f>ROUND(IF(AQ68="7",BH68,0),2)</f>
        <v>0</v>
      </c>
      <c r="AE68" s="38">
        <f>ROUND(IF(AQ68="7",BI68,0),2)</f>
        <v>0</v>
      </c>
      <c r="AF68" s="38">
        <f>ROUND(IF(AQ68="2",BH68,0),2)</f>
        <v>0</v>
      </c>
      <c r="AG68" s="38">
        <f>ROUND(IF(AQ68="2",BI68,0),2)</f>
        <v>0</v>
      </c>
      <c r="AH68" s="38">
        <f>ROUND(IF(AQ68="0",BJ68,0),2)</f>
        <v>0</v>
      </c>
      <c r="AI68" s="29" t="s">
        <v>55</v>
      </c>
      <c r="AJ68" s="38">
        <f>IF(AN68=0,J68,0)</f>
        <v>0</v>
      </c>
      <c r="AK68" s="38">
        <f>IF(AN68=12,J68,0)</f>
        <v>0</v>
      </c>
      <c r="AL68" s="38">
        <f>IF(AN68=21,J68,0)</f>
        <v>0</v>
      </c>
      <c r="AN68" s="38">
        <v>0</v>
      </c>
      <c r="AO68" s="38">
        <f>G68*0.818181818</f>
        <v>0</v>
      </c>
      <c r="AP68" s="38">
        <f>G68*(1-0.818181818)</f>
        <v>0</v>
      </c>
      <c r="AQ68" s="41" t="s">
        <v>61</v>
      </c>
      <c r="AV68" s="38">
        <f>ROUND(AW68+AX68,2)</f>
        <v>0</v>
      </c>
      <c r="AW68" s="38">
        <f>ROUND(F68*AO68,2)</f>
        <v>0</v>
      </c>
      <c r="AX68" s="38">
        <f>ROUND(F68*AP68,2)</f>
        <v>0</v>
      </c>
      <c r="AY68" s="41" t="s">
        <v>233</v>
      </c>
      <c r="AZ68" s="41" t="s">
        <v>227</v>
      </c>
      <c r="BA68" s="29" t="s">
        <v>64</v>
      </c>
      <c r="BC68" s="38">
        <f>AW68+AX68</f>
        <v>0</v>
      </c>
      <c r="BD68" s="38">
        <f>G68/(100-BE68)*100</f>
        <v>0</v>
      </c>
      <c r="BE68" s="38">
        <v>0</v>
      </c>
      <c r="BF68" s="38">
        <f>68</f>
        <v>68</v>
      </c>
      <c r="BH68" s="38">
        <f>F68*AO68</f>
        <v>0</v>
      </c>
      <c r="BI68" s="38">
        <f>F68*AP68</f>
        <v>0</v>
      </c>
      <c r="BJ68" s="38">
        <f>F68*G68</f>
        <v>0</v>
      </c>
      <c r="BK68" s="41" t="s">
        <v>65</v>
      </c>
      <c r="BL68" s="38">
        <v>732</v>
      </c>
      <c r="BW68" s="38">
        <v>0</v>
      </c>
      <c r="BX68" s="26" t="s">
        <v>232</v>
      </c>
    </row>
    <row r="69" spans="1:76" ht="26.4" x14ac:dyDescent="0.3">
      <c r="A69" s="17" t="s">
        <v>234</v>
      </c>
      <c r="B69" s="18" t="s">
        <v>235</v>
      </c>
      <c r="C69" s="61" t="s">
        <v>236</v>
      </c>
      <c r="D69" s="58"/>
      <c r="E69" s="18" t="s">
        <v>133</v>
      </c>
      <c r="F69" s="38">
        <v>1</v>
      </c>
      <c r="G69" s="39">
        <v>0</v>
      </c>
      <c r="H69" s="38">
        <f>ROUND(F69*AO69,2)</f>
        <v>0</v>
      </c>
      <c r="I69" s="38">
        <f>ROUND(F69*AP69,2)</f>
        <v>0</v>
      </c>
      <c r="J69" s="38">
        <f>ROUND(F69*G69,2)</f>
        <v>0</v>
      </c>
      <c r="K69" s="40" t="s">
        <v>51</v>
      </c>
      <c r="Z69" s="38">
        <f>ROUND(IF(AQ69="5",BJ69,0),2)</f>
        <v>0</v>
      </c>
      <c r="AB69" s="38">
        <f>ROUND(IF(AQ69="1",BH69,0),2)</f>
        <v>0</v>
      </c>
      <c r="AC69" s="38">
        <f>ROUND(IF(AQ69="1",BI69,0),2)</f>
        <v>0</v>
      </c>
      <c r="AD69" s="38">
        <f>ROUND(IF(AQ69="7",BH69,0),2)</f>
        <v>0</v>
      </c>
      <c r="AE69" s="38">
        <f>ROUND(IF(AQ69="7",BI69,0),2)</f>
        <v>0</v>
      </c>
      <c r="AF69" s="38">
        <f>ROUND(IF(AQ69="2",BH69,0),2)</f>
        <v>0</v>
      </c>
      <c r="AG69" s="38">
        <f>ROUND(IF(AQ69="2",BI69,0),2)</f>
        <v>0</v>
      </c>
      <c r="AH69" s="38">
        <f>ROUND(IF(AQ69="0",BJ69,0),2)</f>
        <v>0</v>
      </c>
      <c r="AI69" s="29" t="s">
        <v>55</v>
      </c>
      <c r="AJ69" s="38">
        <f>IF(AN69=0,J69,0)</f>
        <v>0</v>
      </c>
      <c r="AK69" s="38">
        <f>IF(AN69=12,J69,0)</f>
        <v>0</v>
      </c>
      <c r="AL69" s="38">
        <f>IF(AN69=21,J69,0)</f>
        <v>0</v>
      </c>
      <c r="AN69" s="38">
        <v>0</v>
      </c>
      <c r="AO69" s="38">
        <f>G69*0.980045815</f>
        <v>0</v>
      </c>
      <c r="AP69" s="38">
        <f>G69*(1-0.980045815)</f>
        <v>0</v>
      </c>
      <c r="AQ69" s="41" t="s">
        <v>61</v>
      </c>
      <c r="AV69" s="38">
        <f>ROUND(AW69+AX69,2)</f>
        <v>0</v>
      </c>
      <c r="AW69" s="38">
        <f>ROUND(F69*AO69,2)</f>
        <v>0</v>
      </c>
      <c r="AX69" s="38">
        <f>ROUND(F69*AP69,2)</f>
        <v>0</v>
      </c>
      <c r="AY69" s="41" t="s">
        <v>233</v>
      </c>
      <c r="AZ69" s="41" t="s">
        <v>227</v>
      </c>
      <c r="BA69" s="29" t="s">
        <v>64</v>
      </c>
      <c r="BC69" s="38">
        <f>AW69+AX69</f>
        <v>0</v>
      </c>
      <c r="BD69" s="38">
        <f>G69/(100-BE69)*100</f>
        <v>0</v>
      </c>
      <c r="BE69" s="38">
        <v>0</v>
      </c>
      <c r="BF69" s="38">
        <f>69</f>
        <v>69</v>
      </c>
      <c r="BH69" s="38">
        <f>F69*AO69</f>
        <v>0</v>
      </c>
      <c r="BI69" s="38">
        <f>F69*AP69</f>
        <v>0</v>
      </c>
      <c r="BJ69" s="38">
        <f>F69*G69</f>
        <v>0</v>
      </c>
      <c r="BK69" s="41" t="s">
        <v>65</v>
      </c>
      <c r="BL69" s="38">
        <v>732</v>
      </c>
      <c r="BW69" s="38">
        <v>0</v>
      </c>
      <c r="BX69" s="26" t="s">
        <v>236</v>
      </c>
    </row>
    <row r="70" spans="1:76" ht="14.4" x14ac:dyDescent="0.3">
      <c r="A70" s="17" t="s">
        <v>237</v>
      </c>
      <c r="B70" s="18" t="s">
        <v>238</v>
      </c>
      <c r="C70" s="61" t="s">
        <v>239</v>
      </c>
      <c r="D70" s="58"/>
      <c r="E70" s="18" t="s">
        <v>133</v>
      </c>
      <c r="F70" s="38">
        <v>1</v>
      </c>
      <c r="G70" s="39">
        <v>0</v>
      </c>
      <c r="H70" s="38">
        <f>ROUND(F70*AO70,2)</f>
        <v>0</v>
      </c>
      <c r="I70" s="38">
        <f>ROUND(F70*AP70,2)</f>
        <v>0</v>
      </c>
      <c r="J70" s="38">
        <f>ROUND(F70*G70,2)</f>
        <v>0</v>
      </c>
      <c r="K70" s="40" t="s">
        <v>51</v>
      </c>
      <c r="Z70" s="38">
        <f>ROUND(IF(AQ70="5",BJ70,0),2)</f>
        <v>0</v>
      </c>
      <c r="AB70" s="38">
        <f>ROUND(IF(AQ70="1",BH70,0),2)</f>
        <v>0</v>
      </c>
      <c r="AC70" s="38">
        <f>ROUND(IF(AQ70="1",BI70,0),2)</f>
        <v>0</v>
      </c>
      <c r="AD70" s="38">
        <f>ROUND(IF(AQ70="7",BH70,0),2)</f>
        <v>0</v>
      </c>
      <c r="AE70" s="38">
        <f>ROUND(IF(AQ70="7",BI70,0),2)</f>
        <v>0</v>
      </c>
      <c r="AF70" s="38">
        <f>ROUND(IF(AQ70="2",BH70,0),2)</f>
        <v>0</v>
      </c>
      <c r="AG70" s="38">
        <f>ROUND(IF(AQ70="2",BI70,0),2)</f>
        <v>0</v>
      </c>
      <c r="AH70" s="38">
        <f>ROUND(IF(AQ70="0",BJ70,0),2)</f>
        <v>0</v>
      </c>
      <c r="AI70" s="29" t="s">
        <v>55</v>
      </c>
      <c r="AJ70" s="38">
        <f>IF(AN70=0,J70,0)</f>
        <v>0</v>
      </c>
      <c r="AK70" s="38">
        <f>IF(AN70=12,J70,0)</f>
        <v>0</v>
      </c>
      <c r="AL70" s="38">
        <f>IF(AN70=21,J70,0)</f>
        <v>0</v>
      </c>
      <c r="AN70" s="38">
        <v>0</v>
      </c>
      <c r="AO70" s="38">
        <f>G70*0.816345271</f>
        <v>0</v>
      </c>
      <c r="AP70" s="38">
        <f>G70*(1-0.816345271)</f>
        <v>0</v>
      </c>
      <c r="AQ70" s="41" t="s">
        <v>61</v>
      </c>
      <c r="AV70" s="38">
        <f>ROUND(AW70+AX70,2)</f>
        <v>0</v>
      </c>
      <c r="AW70" s="38">
        <f>ROUND(F70*AO70,2)</f>
        <v>0</v>
      </c>
      <c r="AX70" s="38">
        <f>ROUND(F70*AP70,2)</f>
        <v>0</v>
      </c>
      <c r="AY70" s="41" t="s">
        <v>233</v>
      </c>
      <c r="AZ70" s="41" t="s">
        <v>227</v>
      </c>
      <c r="BA70" s="29" t="s">
        <v>64</v>
      </c>
      <c r="BC70" s="38">
        <f>AW70+AX70</f>
        <v>0</v>
      </c>
      <c r="BD70" s="38">
        <f>G70/(100-BE70)*100</f>
        <v>0</v>
      </c>
      <c r="BE70" s="38">
        <v>0</v>
      </c>
      <c r="BF70" s="38">
        <f>70</f>
        <v>70</v>
      </c>
      <c r="BH70" s="38">
        <f>F70*AO70</f>
        <v>0</v>
      </c>
      <c r="BI70" s="38">
        <f>F70*AP70</f>
        <v>0</v>
      </c>
      <c r="BJ70" s="38">
        <f>F70*G70</f>
        <v>0</v>
      </c>
      <c r="BK70" s="41" t="s">
        <v>65</v>
      </c>
      <c r="BL70" s="38">
        <v>732</v>
      </c>
      <c r="BW70" s="38">
        <v>0</v>
      </c>
      <c r="BX70" s="26" t="s">
        <v>239</v>
      </c>
    </row>
    <row r="71" spans="1:76" ht="14.4" x14ac:dyDescent="0.3">
      <c r="A71" s="17" t="s">
        <v>240</v>
      </c>
      <c r="B71" s="18" t="s">
        <v>241</v>
      </c>
      <c r="C71" s="61" t="s">
        <v>242</v>
      </c>
      <c r="D71" s="58"/>
      <c r="E71" s="18" t="s">
        <v>133</v>
      </c>
      <c r="F71" s="38">
        <v>1</v>
      </c>
      <c r="G71" s="39">
        <v>0</v>
      </c>
      <c r="H71" s="38">
        <f>ROUND(F71*AO71,2)</f>
        <v>0</v>
      </c>
      <c r="I71" s="38">
        <f>ROUND(F71*AP71,2)</f>
        <v>0</v>
      </c>
      <c r="J71" s="38">
        <f>ROUND(F71*G71,2)</f>
        <v>0</v>
      </c>
      <c r="K71" s="40" t="s">
        <v>51</v>
      </c>
      <c r="Z71" s="38">
        <f>ROUND(IF(AQ71="5",BJ71,0),2)</f>
        <v>0</v>
      </c>
      <c r="AB71" s="38">
        <f>ROUND(IF(AQ71="1",BH71,0),2)</f>
        <v>0</v>
      </c>
      <c r="AC71" s="38">
        <f>ROUND(IF(AQ71="1",BI71,0),2)</f>
        <v>0</v>
      </c>
      <c r="AD71" s="38">
        <f>ROUND(IF(AQ71="7",BH71,0),2)</f>
        <v>0</v>
      </c>
      <c r="AE71" s="38">
        <f>ROUND(IF(AQ71="7",BI71,0),2)</f>
        <v>0</v>
      </c>
      <c r="AF71" s="38">
        <f>ROUND(IF(AQ71="2",BH71,0),2)</f>
        <v>0</v>
      </c>
      <c r="AG71" s="38">
        <f>ROUND(IF(AQ71="2",BI71,0),2)</f>
        <v>0</v>
      </c>
      <c r="AH71" s="38">
        <f>ROUND(IF(AQ71="0",BJ71,0),2)</f>
        <v>0</v>
      </c>
      <c r="AI71" s="29" t="s">
        <v>55</v>
      </c>
      <c r="AJ71" s="38">
        <f>IF(AN71=0,J71,0)</f>
        <v>0</v>
      </c>
      <c r="AK71" s="38">
        <f>IF(AN71=12,J71,0)</f>
        <v>0</v>
      </c>
      <c r="AL71" s="38">
        <f>IF(AN71=21,J71,0)</f>
        <v>0</v>
      </c>
      <c r="AN71" s="38">
        <v>0</v>
      </c>
      <c r="AO71" s="38">
        <f>G71*0.857142857</f>
        <v>0</v>
      </c>
      <c r="AP71" s="38">
        <f>G71*(1-0.857142857)</f>
        <v>0</v>
      </c>
      <c r="AQ71" s="41" t="s">
        <v>61</v>
      </c>
      <c r="AV71" s="38">
        <f>ROUND(AW71+AX71,2)</f>
        <v>0</v>
      </c>
      <c r="AW71" s="38">
        <f>ROUND(F71*AO71,2)</f>
        <v>0</v>
      </c>
      <c r="AX71" s="38">
        <f>ROUND(F71*AP71,2)</f>
        <v>0</v>
      </c>
      <c r="AY71" s="41" t="s">
        <v>233</v>
      </c>
      <c r="AZ71" s="41" t="s">
        <v>227</v>
      </c>
      <c r="BA71" s="29" t="s">
        <v>64</v>
      </c>
      <c r="BC71" s="38">
        <f>AW71+AX71</f>
        <v>0</v>
      </c>
      <c r="BD71" s="38">
        <f>G71/(100-BE71)*100</f>
        <v>0</v>
      </c>
      <c r="BE71" s="38">
        <v>0</v>
      </c>
      <c r="BF71" s="38">
        <f>71</f>
        <v>71</v>
      </c>
      <c r="BH71" s="38">
        <f>F71*AO71</f>
        <v>0</v>
      </c>
      <c r="BI71" s="38">
        <f>F71*AP71</f>
        <v>0</v>
      </c>
      <c r="BJ71" s="38">
        <f>F71*G71</f>
        <v>0</v>
      </c>
      <c r="BK71" s="41" t="s">
        <v>65</v>
      </c>
      <c r="BL71" s="38">
        <v>732</v>
      </c>
      <c r="BW71" s="38">
        <v>0</v>
      </c>
      <c r="BX71" s="26" t="s">
        <v>242</v>
      </c>
    </row>
    <row r="72" spans="1:76" ht="14.4" x14ac:dyDescent="0.3">
      <c r="A72" s="34" t="s">
        <v>51</v>
      </c>
      <c r="B72" s="35" t="s">
        <v>243</v>
      </c>
      <c r="C72" s="78" t="s">
        <v>244</v>
      </c>
      <c r="D72" s="79"/>
      <c r="E72" s="36" t="s">
        <v>4</v>
      </c>
      <c r="F72" s="36" t="s">
        <v>4</v>
      </c>
      <c r="G72" s="25" t="s">
        <v>4</v>
      </c>
      <c r="H72" s="24">
        <f>SUM(H73:H81)</f>
        <v>0</v>
      </c>
      <c r="I72" s="24">
        <f>SUM(I73:I81)</f>
        <v>0</v>
      </c>
      <c r="J72" s="24">
        <f>SUM(J73:J81)</f>
        <v>0</v>
      </c>
      <c r="K72" s="37" t="s">
        <v>51</v>
      </c>
      <c r="AI72" s="29" t="s">
        <v>55</v>
      </c>
      <c r="AS72" s="24">
        <f>SUM(AJ73:AJ81)</f>
        <v>0</v>
      </c>
      <c r="AT72" s="24">
        <f>SUM(AK73:AK81)</f>
        <v>0</v>
      </c>
      <c r="AU72" s="24">
        <f>SUM(AL73:AL81)</f>
        <v>0</v>
      </c>
    </row>
    <row r="73" spans="1:76" ht="14.4" x14ac:dyDescent="0.3">
      <c r="A73" s="17" t="s">
        <v>245</v>
      </c>
      <c r="B73" s="18" t="s">
        <v>246</v>
      </c>
      <c r="C73" s="61" t="s">
        <v>247</v>
      </c>
      <c r="D73" s="58"/>
      <c r="E73" s="18" t="s">
        <v>126</v>
      </c>
      <c r="F73" s="38">
        <v>48</v>
      </c>
      <c r="G73" s="39">
        <v>0</v>
      </c>
      <c r="H73" s="38">
        <f t="shared" ref="H73:H81" si="68">ROUND(F73*AO73,2)</f>
        <v>0</v>
      </c>
      <c r="I73" s="38">
        <f t="shared" ref="I73:I81" si="69">ROUND(F73*AP73,2)</f>
        <v>0</v>
      </c>
      <c r="J73" s="38">
        <f t="shared" ref="J73:J81" si="70">ROUND(F73*G73,2)</f>
        <v>0</v>
      </c>
      <c r="K73" s="40" t="s">
        <v>60</v>
      </c>
      <c r="Z73" s="38">
        <f t="shared" ref="Z73:Z81" si="71">ROUND(IF(AQ73="5",BJ73,0),2)</f>
        <v>0</v>
      </c>
      <c r="AB73" s="38">
        <f t="shared" ref="AB73:AB81" si="72">ROUND(IF(AQ73="1",BH73,0),2)</f>
        <v>0</v>
      </c>
      <c r="AC73" s="38">
        <f t="shared" ref="AC73:AC81" si="73">ROUND(IF(AQ73="1",BI73,0),2)</f>
        <v>0</v>
      </c>
      <c r="AD73" s="38">
        <f t="shared" ref="AD73:AD81" si="74">ROUND(IF(AQ73="7",BH73,0),2)</f>
        <v>0</v>
      </c>
      <c r="AE73" s="38">
        <f t="shared" ref="AE73:AE81" si="75">ROUND(IF(AQ73="7",BI73,0),2)</f>
        <v>0</v>
      </c>
      <c r="AF73" s="38">
        <f t="shared" ref="AF73:AF81" si="76">ROUND(IF(AQ73="2",BH73,0),2)</f>
        <v>0</v>
      </c>
      <c r="AG73" s="38">
        <f t="shared" ref="AG73:AG81" si="77">ROUND(IF(AQ73="2",BI73,0),2)</f>
        <v>0</v>
      </c>
      <c r="AH73" s="38">
        <f t="shared" ref="AH73:AH81" si="78">ROUND(IF(AQ73="0",BJ73,0),2)</f>
        <v>0</v>
      </c>
      <c r="AI73" s="29" t="s">
        <v>55</v>
      </c>
      <c r="AJ73" s="38">
        <f t="shared" ref="AJ73:AJ81" si="79">IF(AN73=0,J73,0)</f>
        <v>0</v>
      </c>
      <c r="AK73" s="38">
        <f t="shared" ref="AK73:AK81" si="80">IF(AN73=12,J73,0)</f>
        <v>0</v>
      </c>
      <c r="AL73" s="38">
        <f t="shared" ref="AL73:AL81" si="81">IF(AN73=21,J73,0)</f>
        <v>0</v>
      </c>
      <c r="AN73" s="38">
        <v>0</v>
      </c>
      <c r="AO73" s="38">
        <f>G73*0.724397163</f>
        <v>0</v>
      </c>
      <c r="AP73" s="38">
        <f>G73*(1-0.724397163)</f>
        <v>0</v>
      </c>
      <c r="AQ73" s="41" t="s">
        <v>61</v>
      </c>
      <c r="AV73" s="38">
        <f t="shared" ref="AV73:AV81" si="82">ROUND(AW73+AX73,2)</f>
        <v>0</v>
      </c>
      <c r="AW73" s="38">
        <f t="shared" ref="AW73:AW81" si="83">ROUND(F73*AO73,2)</f>
        <v>0</v>
      </c>
      <c r="AX73" s="38">
        <f t="shared" ref="AX73:AX81" si="84">ROUND(F73*AP73,2)</f>
        <v>0</v>
      </c>
      <c r="AY73" s="41" t="s">
        <v>248</v>
      </c>
      <c r="AZ73" s="41" t="s">
        <v>227</v>
      </c>
      <c r="BA73" s="29" t="s">
        <v>64</v>
      </c>
      <c r="BC73" s="38">
        <f t="shared" ref="BC73:BC81" si="85">AW73+AX73</f>
        <v>0</v>
      </c>
      <c r="BD73" s="38">
        <f t="shared" ref="BD73:BD81" si="86">G73/(100-BE73)*100</f>
        <v>0</v>
      </c>
      <c r="BE73" s="38">
        <v>0</v>
      </c>
      <c r="BF73" s="38">
        <f>73</f>
        <v>73</v>
      </c>
      <c r="BH73" s="38">
        <f t="shared" ref="BH73:BH81" si="87">F73*AO73</f>
        <v>0</v>
      </c>
      <c r="BI73" s="38">
        <f t="shared" ref="BI73:BI81" si="88">F73*AP73</f>
        <v>0</v>
      </c>
      <c r="BJ73" s="38">
        <f t="shared" ref="BJ73:BJ81" si="89">F73*G73</f>
        <v>0</v>
      </c>
      <c r="BK73" s="41" t="s">
        <v>65</v>
      </c>
      <c r="BL73" s="38">
        <v>734</v>
      </c>
      <c r="BW73" s="38">
        <v>0</v>
      </c>
      <c r="BX73" s="26" t="s">
        <v>247</v>
      </c>
    </row>
    <row r="74" spans="1:76" ht="14.4" x14ac:dyDescent="0.3">
      <c r="A74" s="17" t="s">
        <v>249</v>
      </c>
      <c r="B74" s="18" t="s">
        <v>250</v>
      </c>
      <c r="C74" s="61" t="s">
        <v>251</v>
      </c>
      <c r="D74" s="58"/>
      <c r="E74" s="18" t="s">
        <v>126</v>
      </c>
      <c r="F74" s="38">
        <v>58</v>
      </c>
      <c r="G74" s="39">
        <v>0</v>
      </c>
      <c r="H74" s="38">
        <f t="shared" si="68"/>
        <v>0</v>
      </c>
      <c r="I74" s="38">
        <f t="shared" si="69"/>
        <v>0</v>
      </c>
      <c r="J74" s="38">
        <f t="shared" si="70"/>
        <v>0</v>
      </c>
      <c r="K74" s="40" t="s">
        <v>60</v>
      </c>
      <c r="Z74" s="38">
        <f t="shared" si="71"/>
        <v>0</v>
      </c>
      <c r="AB74" s="38">
        <f t="shared" si="72"/>
        <v>0</v>
      </c>
      <c r="AC74" s="38">
        <f t="shared" si="73"/>
        <v>0</v>
      </c>
      <c r="AD74" s="38">
        <f t="shared" si="74"/>
        <v>0</v>
      </c>
      <c r="AE74" s="38">
        <f t="shared" si="75"/>
        <v>0</v>
      </c>
      <c r="AF74" s="38">
        <f t="shared" si="76"/>
        <v>0</v>
      </c>
      <c r="AG74" s="38">
        <f t="shared" si="77"/>
        <v>0</v>
      </c>
      <c r="AH74" s="38">
        <f t="shared" si="78"/>
        <v>0</v>
      </c>
      <c r="AI74" s="29" t="s">
        <v>55</v>
      </c>
      <c r="AJ74" s="38">
        <f t="shared" si="79"/>
        <v>0</v>
      </c>
      <c r="AK74" s="38">
        <f t="shared" si="80"/>
        <v>0</v>
      </c>
      <c r="AL74" s="38">
        <f t="shared" si="81"/>
        <v>0</v>
      </c>
      <c r="AN74" s="38">
        <v>0</v>
      </c>
      <c r="AO74" s="38">
        <f>G74*0.672674369</f>
        <v>0</v>
      </c>
      <c r="AP74" s="38">
        <f>G74*(1-0.672674369)</f>
        <v>0</v>
      </c>
      <c r="AQ74" s="41" t="s">
        <v>61</v>
      </c>
      <c r="AV74" s="38">
        <f t="shared" si="82"/>
        <v>0</v>
      </c>
      <c r="AW74" s="38">
        <f t="shared" si="83"/>
        <v>0</v>
      </c>
      <c r="AX74" s="38">
        <f t="shared" si="84"/>
        <v>0</v>
      </c>
      <c r="AY74" s="41" t="s">
        <v>248</v>
      </c>
      <c r="AZ74" s="41" t="s">
        <v>227</v>
      </c>
      <c r="BA74" s="29" t="s">
        <v>64</v>
      </c>
      <c r="BC74" s="38">
        <f t="shared" si="85"/>
        <v>0</v>
      </c>
      <c r="BD74" s="38">
        <f t="shared" si="86"/>
        <v>0</v>
      </c>
      <c r="BE74" s="38">
        <v>0</v>
      </c>
      <c r="BF74" s="38">
        <f>74</f>
        <v>74</v>
      </c>
      <c r="BH74" s="38">
        <f t="shared" si="87"/>
        <v>0</v>
      </c>
      <c r="BI74" s="38">
        <f t="shared" si="88"/>
        <v>0</v>
      </c>
      <c r="BJ74" s="38">
        <f t="shared" si="89"/>
        <v>0</v>
      </c>
      <c r="BK74" s="41" t="s">
        <v>65</v>
      </c>
      <c r="BL74" s="38">
        <v>734</v>
      </c>
      <c r="BW74" s="38">
        <v>0</v>
      </c>
      <c r="BX74" s="26" t="s">
        <v>251</v>
      </c>
    </row>
    <row r="75" spans="1:76" ht="14.4" x14ac:dyDescent="0.3">
      <c r="A75" s="17" t="s">
        <v>252</v>
      </c>
      <c r="B75" s="18" t="s">
        <v>253</v>
      </c>
      <c r="C75" s="61" t="s">
        <v>254</v>
      </c>
      <c r="D75" s="58"/>
      <c r="E75" s="18" t="s">
        <v>126</v>
      </c>
      <c r="F75" s="38">
        <v>2</v>
      </c>
      <c r="G75" s="39">
        <v>0</v>
      </c>
      <c r="H75" s="38">
        <f t="shared" si="68"/>
        <v>0</v>
      </c>
      <c r="I75" s="38">
        <f t="shared" si="69"/>
        <v>0</v>
      </c>
      <c r="J75" s="38">
        <f t="shared" si="70"/>
        <v>0</v>
      </c>
      <c r="K75" s="40" t="s">
        <v>60</v>
      </c>
      <c r="Z75" s="38">
        <f t="shared" si="71"/>
        <v>0</v>
      </c>
      <c r="AB75" s="38">
        <f t="shared" si="72"/>
        <v>0</v>
      </c>
      <c r="AC75" s="38">
        <f t="shared" si="73"/>
        <v>0</v>
      </c>
      <c r="AD75" s="38">
        <f t="shared" si="74"/>
        <v>0</v>
      </c>
      <c r="AE75" s="38">
        <f t="shared" si="75"/>
        <v>0</v>
      </c>
      <c r="AF75" s="38">
        <f t="shared" si="76"/>
        <v>0</v>
      </c>
      <c r="AG75" s="38">
        <f t="shared" si="77"/>
        <v>0</v>
      </c>
      <c r="AH75" s="38">
        <f t="shared" si="78"/>
        <v>0</v>
      </c>
      <c r="AI75" s="29" t="s">
        <v>55</v>
      </c>
      <c r="AJ75" s="38">
        <f t="shared" si="79"/>
        <v>0</v>
      </c>
      <c r="AK75" s="38">
        <f t="shared" si="80"/>
        <v>0</v>
      </c>
      <c r="AL75" s="38">
        <f t="shared" si="81"/>
        <v>0</v>
      </c>
      <c r="AN75" s="38">
        <v>0</v>
      </c>
      <c r="AO75" s="38">
        <f>G75*0.71776151</f>
        <v>0</v>
      </c>
      <c r="AP75" s="38">
        <f>G75*(1-0.71776151)</f>
        <v>0</v>
      </c>
      <c r="AQ75" s="41" t="s">
        <v>61</v>
      </c>
      <c r="AV75" s="38">
        <f t="shared" si="82"/>
        <v>0</v>
      </c>
      <c r="AW75" s="38">
        <f t="shared" si="83"/>
        <v>0</v>
      </c>
      <c r="AX75" s="38">
        <f t="shared" si="84"/>
        <v>0</v>
      </c>
      <c r="AY75" s="41" t="s">
        <v>248</v>
      </c>
      <c r="AZ75" s="41" t="s">
        <v>227</v>
      </c>
      <c r="BA75" s="29" t="s">
        <v>64</v>
      </c>
      <c r="BC75" s="38">
        <f t="shared" si="85"/>
        <v>0</v>
      </c>
      <c r="BD75" s="38">
        <f t="shared" si="86"/>
        <v>0</v>
      </c>
      <c r="BE75" s="38">
        <v>0</v>
      </c>
      <c r="BF75" s="38">
        <f>75</f>
        <v>75</v>
      </c>
      <c r="BH75" s="38">
        <f t="shared" si="87"/>
        <v>0</v>
      </c>
      <c r="BI75" s="38">
        <f t="shared" si="88"/>
        <v>0</v>
      </c>
      <c r="BJ75" s="38">
        <f t="shared" si="89"/>
        <v>0</v>
      </c>
      <c r="BK75" s="41" t="s">
        <v>65</v>
      </c>
      <c r="BL75" s="38">
        <v>734</v>
      </c>
      <c r="BW75" s="38">
        <v>0</v>
      </c>
      <c r="BX75" s="26" t="s">
        <v>254</v>
      </c>
    </row>
    <row r="76" spans="1:76" ht="14.4" x14ac:dyDescent="0.3">
      <c r="A76" s="17" t="s">
        <v>255</v>
      </c>
      <c r="B76" s="18" t="s">
        <v>256</v>
      </c>
      <c r="C76" s="61" t="s">
        <v>257</v>
      </c>
      <c r="D76" s="58"/>
      <c r="E76" s="18" t="s">
        <v>126</v>
      </c>
      <c r="F76" s="38">
        <v>20</v>
      </c>
      <c r="G76" s="39">
        <v>0</v>
      </c>
      <c r="H76" s="38">
        <f t="shared" si="68"/>
        <v>0</v>
      </c>
      <c r="I76" s="38">
        <f t="shared" si="69"/>
        <v>0</v>
      </c>
      <c r="J76" s="38">
        <f t="shared" si="70"/>
        <v>0</v>
      </c>
      <c r="K76" s="40" t="s">
        <v>60</v>
      </c>
      <c r="Z76" s="38">
        <f t="shared" si="71"/>
        <v>0</v>
      </c>
      <c r="AB76" s="38">
        <f t="shared" si="72"/>
        <v>0</v>
      </c>
      <c r="AC76" s="38">
        <f t="shared" si="73"/>
        <v>0</v>
      </c>
      <c r="AD76" s="38">
        <f t="shared" si="74"/>
        <v>0</v>
      </c>
      <c r="AE76" s="38">
        <f t="shared" si="75"/>
        <v>0</v>
      </c>
      <c r="AF76" s="38">
        <f t="shared" si="76"/>
        <v>0</v>
      </c>
      <c r="AG76" s="38">
        <f t="shared" si="77"/>
        <v>0</v>
      </c>
      <c r="AH76" s="38">
        <f t="shared" si="78"/>
        <v>0</v>
      </c>
      <c r="AI76" s="29" t="s">
        <v>55</v>
      </c>
      <c r="AJ76" s="38">
        <f t="shared" si="79"/>
        <v>0</v>
      </c>
      <c r="AK76" s="38">
        <f t="shared" si="80"/>
        <v>0</v>
      </c>
      <c r="AL76" s="38">
        <f t="shared" si="81"/>
        <v>0</v>
      </c>
      <c r="AN76" s="38">
        <v>0</v>
      </c>
      <c r="AO76" s="38">
        <f>G76*0.783423913</f>
        <v>0</v>
      </c>
      <c r="AP76" s="38">
        <f>G76*(1-0.783423913)</f>
        <v>0</v>
      </c>
      <c r="AQ76" s="41" t="s">
        <v>61</v>
      </c>
      <c r="AV76" s="38">
        <f t="shared" si="82"/>
        <v>0</v>
      </c>
      <c r="AW76" s="38">
        <f t="shared" si="83"/>
        <v>0</v>
      </c>
      <c r="AX76" s="38">
        <f t="shared" si="84"/>
        <v>0</v>
      </c>
      <c r="AY76" s="41" t="s">
        <v>248</v>
      </c>
      <c r="AZ76" s="41" t="s">
        <v>227</v>
      </c>
      <c r="BA76" s="29" t="s">
        <v>64</v>
      </c>
      <c r="BC76" s="38">
        <f t="shared" si="85"/>
        <v>0</v>
      </c>
      <c r="BD76" s="38">
        <f t="shared" si="86"/>
        <v>0</v>
      </c>
      <c r="BE76" s="38">
        <v>0</v>
      </c>
      <c r="BF76" s="38">
        <f>76</f>
        <v>76</v>
      </c>
      <c r="BH76" s="38">
        <f t="shared" si="87"/>
        <v>0</v>
      </c>
      <c r="BI76" s="38">
        <f t="shared" si="88"/>
        <v>0</v>
      </c>
      <c r="BJ76" s="38">
        <f t="shared" si="89"/>
        <v>0</v>
      </c>
      <c r="BK76" s="41" t="s">
        <v>65</v>
      </c>
      <c r="BL76" s="38">
        <v>734</v>
      </c>
      <c r="BW76" s="38">
        <v>0</v>
      </c>
      <c r="BX76" s="26" t="s">
        <v>257</v>
      </c>
    </row>
    <row r="77" spans="1:76" ht="14.4" x14ac:dyDescent="0.3">
      <c r="A77" s="17" t="s">
        <v>258</v>
      </c>
      <c r="B77" s="18" t="s">
        <v>259</v>
      </c>
      <c r="C77" s="61" t="s">
        <v>260</v>
      </c>
      <c r="D77" s="58"/>
      <c r="E77" s="18" t="s">
        <v>126</v>
      </c>
      <c r="F77" s="38">
        <v>20</v>
      </c>
      <c r="G77" s="39">
        <v>0</v>
      </c>
      <c r="H77" s="38">
        <f t="shared" si="68"/>
        <v>0</v>
      </c>
      <c r="I77" s="38">
        <f t="shared" si="69"/>
        <v>0</v>
      </c>
      <c r="J77" s="38">
        <f t="shared" si="70"/>
        <v>0</v>
      </c>
      <c r="K77" s="40" t="s">
        <v>60</v>
      </c>
      <c r="Z77" s="38">
        <f t="shared" si="71"/>
        <v>0</v>
      </c>
      <c r="AB77" s="38">
        <f t="shared" si="72"/>
        <v>0</v>
      </c>
      <c r="AC77" s="38">
        <f t="shared" si="73"/>
        <v>0</v>
      </c>
      <c r="AD77" s="38">
        <f t="shared" si="74"/>
        <v>0</v>
      </c>
      <c r="AE77" s="38">
        <f t="shared" si="75"/>
        <v>0</v>
      </c>
      <c r="AF77" s="38">
        <f t="shared" si="76"/>
        <v>0</v>
      </c>
      <c r="AG77" s="38">
        <f t="shared" si="77"/>
        <v>0</v>
      </c>
      <c r="AH77" s="38">
        <f t="shared" si="78"/>
        <v>0</v>
      </c>
      <c r="AI77" s="29" t="s">
        <v>55</v>
      </c>
      <c r="AJ77" s="38">
        <f t="shared" si="79"/>
        <v>0</v>
      </c>
      <c r="AK77" s="38">
        <f t="shared" si="80"/>
        <v>0</v>
      </c>
      <c r="AL77" s="38">
        <f t="shared" si="81"/>
        <v>0</v>
      </c>
      <c r="AN77" s="38">
        <v>0</v>
      </c>
      <c r="AO77" s="38">
        <f>G77*0.812597347</f>
        <v>0</v>
      </c>
      <c r="AP77" s="38">
        <f>G77*(1-0.812597347)</f>
        <v>0</v>
      </c>
      <c r="AQ77" s="41" t="s">
        <v>61</v>
      </c>
      <c r="AV77" s="38">
        <f t="shared" si="82"/>
        <v>0</v>
      </c>
      <c r="AW77" s="38">
        <f t="shared" si="83"/>
        <v>0</v>
      </c>
      <c r="AX77" s="38">
        <f t="shared" si="84"/>
        <v>0</v>
      </c>
      <c r="AY77" s="41" t="s">
        <v>248</v>
      </c>
      <c r="AZ77" s="41" t="s">
        <v>227</v>
      </c>
      <c r="BA77" s="29" t="s">
        <v>64</v>
      </c>
      <c r="BC77" s="38">
        <f t="shared" si="85"/>
        <v>0</v>
      </c>
      <c r="BD77" s="38">
        <f t="shared" si="86"/>
        <v>0</v>
      </c>
      <c r="BE77" s="38">
        <v>0</v>
      </c>
      <c r="BF77" s="38">
        <f>77</f>
        <v>77</v>
      </c>
      <c r="BH77" s="38">
        <f t="shared" si="87"/>
        <v>0</v>
      </c>
      <c r="BI77" s="38">
        <f t="shared" si="88"/>
        <v>0</v>
      </c>
      <c r="BJ77" s="38">
        <f t="shared" si="89"/>
        <v>0</v>
      </c>
      <c r="BK77" s="41" t="s">
        <v>65</v>
      </c>
      <c r="BL77" s="38">
        <v>734</v>
      </c>
      <c r="BW77" s="38">
        <v>0</v>
      </c>
      <c r="BX77" s="26" t="s">
        <v>260</v>
      </c>
    </row>
    <row r="78" spans="1:76" ht="14.4" x14ac:dyDescent="0.3">
      <c r="A78" s="17" t="s">
        <v>261</v>
      </c>
      <c r="B78" s="18" t="s">
        <v>262</v>
      </c>
      <c r="C78" s="61" t="s">
        <v>263</v>
      </c>
      <c r="D78" s="58"/>
      <c r="E78" s="18" t="s">
        <v>126</v>
      </c>
      <c r="F78" s="38">
        <v>22</v>
      </c>
      <c r="G78" s="39">
        <v>0</v>
      </c>
      <c r="H78" s="38">
        <f t="shared" si="68"/>
        <v>0</v>
      </c>
      <c r="I78" s="38">
        <f t="shared" si="69"/>
        <v>0</v>
      </c>
      <c r="J78" s="38">
        <f t="shared" si="70"/>
        <v>0</v>
      </c>
      <c r="K78" s="40" t="s">
        <v>60</v>
      </c>
      <c r="Z78" s="38">
        <f t="shared" si="71"/>
        <v>0</v>
      </c>
      <c r="AB78" s="38">
        <f t="shared" si="72"/>
        <v>0</v>
      </c>
      <c r="AC78" s="38">
        <f t="shared" si="73"/>
        <v>0</v>
      </c>
      <c r="AD78" s="38">
        <f t="shared" si="74"/>
        <v>0</v>
      </c>
      <c r="AE78" s="38">
        <f t="shared" si="75"/>
        <v>0</v>
      </c>
      <c r="AF78" s="38">
        <f t="shared" si="76"/>
        <v>0</v>
      </c>
      <c r="AG78" s="38">
        <f t="shared" si="77"/>
        <v>0</v>
      </c>
      <c r="AH78" s="38">
        <f t="shared" si="78"/>
        <v>0</v>
      </c>
      <c r="AI78" s="29" t="s">
        <v>55</v>
      </c>
      <c r="AJ78" s="38">
        <f t="shared" si="79"/>
        <v>0</v>
      </c>
      <c r="AK78" s="38">
        <f t="shared" si="80"/>
        <v>0</v>
      </c>
      <c r="AL78" s="38">
        <f t="shared" si="81"/>
        <v>0</v>
      </c>
      <c r="AN78" s="38">
        <v>0</v>
      </c>
      <c r="AO78" s="38">
        <f>G78*0.830599102</f>
        <v>0</v>
      </c>
      <c r="AP78" s="38">
        <f>G78*(1-0.830599102)</f>
        <v>0</v>
      </c>
      <c r="AQ78" s="41" t="s">
        <v>61</v>
      </c>
      <c r="AV78" s="38">
        <f t="shared" si="82"/>
        <v>0</v>
      </c>
      <c r="AW78" s="38">
        <f t="shared" si="83"/>
        <v>0</v>
      </c>
      <c r="AX78" s="38">
        <f t="shared" si="84"/>
        <v>0</v>
      </c>
      <c r="AY78" s="41" t="s">
        <v>248</v>
      </c>
      <c r="AZ78" s="41" t="s">
        <v>227</v>
      </c>
      <c r="BA78" s="29" t="s">
        <v>64</v>
      </c>
      <c r="BC78" s="38">
        <f t="shared" si="85"/>
        <v>0</v>
      </c>
      <c r="BD78" s="38">
        <f t="shared" si="86"/>
        <v>0</v>
      </c>
      <c r="BE78" s="38">
        <v>0</v>
      </c>
      <c r="BF78" s="38">
        <f>78</f>
        <v>78</v>
      </c>
      <c r="BH78" s="38">
        <f t="shared" si="87"/>
        <v>0</v>
      </c>
      <c r="BI78" s="38">
        <f t="shared" si="88"/>
        <v>0</v>
      </c>
      <c r="BJ78" s="38">
        <f t="shared" si="89"/>
        <v>0</v>
      </c>
      <c r="BK78" s="41" t="s">
        <v>65</v>
      </c>
      <c r="BL78" s="38">
        <v>734</v>
      </c>
      <c r="BW78" s="38">
        <v>0</v>
      </c>
      <c r="BX78" s="26" t="s">
        <v>263</v>
      </c>
    </row>
    <row r="79" spans="1:76" ht="14.4" x14ac:dyDescent="0.3">
      <c r="A79" s="17" t="s">
        <v>264</v>
      </c>
      <c r="B79" s="18" t="s">
        <v>265</v>
      </c>
      <c r="C79" s="61" t="s">
        <v>266</v>
      </c>
      <c r="D79" s="58"/>
      <c r="E79" s="18" t="s">
        <v>126</v>
      </c>
      <c r="F79" s="38">
        <v>3</v>
      </c>
      <c r="G79" s="39">
        <v>0</v>
      </c>
      <c r="H79" s="38">
        <f t="shared" si="68"/>
        <v>0</v>
      </c>
      <c r="I79" s="38">
        <f t="shared" si="69"/>
        <v>0</v>
      </c>
      <c r="J79" s="38">
        <f t="shared" si="70"/>
        <v>0</v>
      </c>
      <c r="K79" s="40" t="s">
        <v>60</v>
      </c>
      <c r="Z79" s="38">
        <f t="shared" si="71"/>
        <v>0</v>
      </c>
      <c r="AB79" s="38">
        <f t="shared" si="72"/>
        <v>0</v>
      </c>
      <c r="AC79" s="38">
        <f t="shared" si="73"/>
        <v>0</v>
      </c>
      <c r="AD79" s="38">
        <f t="shared" si="74"/>
        <v>0</v>
      </c>
      <c r="AE79" s="38">
        <f t="shared" si="75"/>
        <v>0</v>
      </c>
      <c r="AF79" s="38">
        <f t="shared" si="76"/>
        <v>0</v>
      </c>
      <c r="AG79" s="38">
        <f t="shared" si="77"/>
        <v>0</v>
      </c>
      <c r="AH79" s="38">
        <f t="shared" si="78"/>
        <v>0</v>
      </c>
      <c r="AI79" s="29" t="s">
        <v>55</v>
      </c>
      <c r="AJ79" s="38">
        <f t="shared" si="79"/>
        <v>0</v>
      </c>
      <c r="AK79" s="38">
        <f t="shared" si="80"/>
        <v>0</v>
      </c>
      <c r="AL79" s="38">
        <f t="shared" si="81"/>
        <v>0</v>
      </c>
      <c r="AN79" s="38">
        <v>0</v>
      </c>
      <c r="AO79" s="38">
        <f>G79*0.861516279</f>
        <v>0</v>
      </c>
      <c r="AP79" s="38">
        <f>G79*(1-0.861516279)</f>
        <v>0</v>
      </c>
      <c r="AQ79" s="41" t="s">
        <v>61</v>
      </c>
      <c r="AV79" s="38">
        <f t="shared" si="82"/>
        <v>0</v>
      </c>
      <c r="AW79" s="38">
        <f t="shared" si="83"/>
        <v>0</v>
      </c>
      <c r="AX79" s="38">
        <f t="shared" si="84"/>
        <v>0</v>
      </c>
      <c r="AY79" s="41" t="s">
        <v>248</v>
      </c>
      <c r="AZ79" s="41" t="s">
        <v>227</v>
      </c>
      <c r="BA79" s="29" t="s">
        <v>64</v>
      </c>
      <c r="BC79" s="38">
        <f t="shared" si="85"/>
        <v>0</v>
      </c>
      <c r="BD79" s="38">
        <f t="shared" si="86"/>
        <v>0</v>
      </c>
      <c r="BE79" s="38">
        <v>0</v>
      </c>
      <c r="BF79" s="38">
        <f>79</f>
        <v>79</v>
      </c>
      <c r="BH79" s="38">
        <f t="shared" si="87"/>
        <v>0</v>
      </c>
      <c r="BI79" s="38">
        <f t="shared" si="88"/>
        <v>0</v>
      </c>
      <c r="BJ79" s="38">
        <f t="shared" si="89"/>
        <v>0</v>
      </c>
      <c r="BK79" s="41" t="s">
        <v>65</v>
      </c>
      <c r="BL79" s="38">
        <v>734</v>
      </c>
      <c r="BW79" s="38">
        <v>0</v>
      </c>
      <c r="BX79" s="26" t="s">
        <v>266</v>
      </c>
    </row>
    <row r="80" spans="1:76" ht="14.4" x14ac:dyDescent="0.3">
      <c r="A80" s="17" t="s">
        <v>267</v>
      </c>
      <c r="B80" s="18" t="s">
        <v>268</v>
      </c>
      <c r="C80" s="61" t="s">
        <v>269</v>
      </c>
      <c r="D80" s="58"/>
      <c r="E80" s="18" t="s">
        <v>126</v>
      </c>
      <c r="F80" s="38">
        <v>19</v>
      </c>
      <c r="G80" s="39">
        <v>0</v>
      </c>
      <c r="H80" s="38">
        <f t="shared" si="68"/>
        <v>0</v>
      </c>
      <c r="I80" s="38">
        <f t="shared" si="69"/>
        <v>0</v>
      </c>
      <c r="J80" s="38">
        <f t="shared" si="70"/>
        <v>0</v>
      </c>
      <c r="K80" s="40" t="s">
        <v>60</v>
      </c>
      <c r="Z80" s="38">
        <f t="shared" si="71"/>
        <v>0</v>
      </c>
      <c r="AB80" s="38">
        <f t="shared" si="72"/>
        <v>0</v>
      </c>
      <c r="AC80" s="38">
        <f t="shared" si="73"/>
        <v>0</v>
      </c>
      <c r="AD80" s="38">
        <f t="shared" si="74"/>
        <v>0</v>
      </c>
      <c r="AE80" s="38">
        <f t="shared" si="75"/>
        <v>0</v>
      </c>
      <c r="AF80" s="38">
        <f t="shared" si="76"/>
        <v>0</v>
      </c>
      <c r="AG80" s="38">
        <f t="shared" si="77"/>
        <v>0</v>
      </c>
      <c r="AH80" s="38">
        <f t="shared" si="78"/>
        <v>0</v>
      </c>
      <c r="AI80" s="29" t="s">
        <v>55</v>
      </c>
      <c r="AJ80" s="38">
        <f t="shared" si="79"/>
        <v>0</v>
      </c>
      <c r="AK80" s="38">
        <f t="shared" si="80"/>
        <v>0</v>
      </c>
      <c r="AL80" s="38">
        <f t="shared" si="81"/>
        <v>0</v>
      </c>
      <c r="AN80" s="38">
        <v>0</v>
      </c>
      <c r="AO80" s="38">
        <f>G80*0.909185096</f>
        <v>0</v>
      </c>
      <c r="AP80" s="38">
        <f>G80*(1-0.909185096)</f>
        <v>0</v>
      </c>
      <c r="AQ80" s="41" t="s">
        <v>61</v>
      </c>
      <c r="AV80" s="38">
        <f t="shared" si="82"/>
        <v>0</v>
      </c>
      <c r="AW80" s="38">
        <f t="shared" si="83"/>
        <v>0</v>
      </c>
      <c r="AX80" s="38">
        <f t="shared" si="84"/>
        <v>0</v>
      </c>
      <c r="AY80" s="41" t="s">
        <v>248</v>
      </c>
      <c r="AZ80" s="41" t="s">
        <v>227</v>
      </c>
      <c r="BA80" s="29" t="s">
        <v>64</v>
      </c>
      <c r="BC80" s="38">
        <f t="shared" si="85"/>
        <v>0</v>
      </c>
      <c r="BD80" s="38">
        <f t="shared" si="86"/>
        <v>0</v>
      </c>
      <c r="BE80" s="38">
        <v>0</v>
      </c>
      <c r="BF80" s="38">
        <f>80</f>
        <v>80</v>
      </c>
      <c r="BH80" s="38">
        <f t="shared" si="87"/>
        <v>0</v>
      </c>
      <c r="BI80" s="38">
        <f t="shared" si="88"/>
        <v>0</v>
      </c>
      <c r="BJ80" s="38">
        <f t="shared" si="89"/>
        <v>0</v>
      </c>
      <c r="BK80" s="41" t="s">
        <v>65</v>
      </c>
      <c r="BL80" s="38">
        <v>734</v>
      </c>
      <c r="BW80" s="38">
        <v>0</v>
      </c>
      <c r="BX80" s="26" t="s">
        <v>269</v>
      </c>
    </row>
    <row r="81" spans="1:76" ht="14.4" x14ac:dyDescent="0.3">
      <c r="A81" s="17" t="s">
        <v>270</v>
      </c>
      <c r="B81" s="18" t="s">
        <v>271</v>
      </c>
      <c r="C81" s="61" t="s">
        <v>272</v>
      </c>
      <c r="D81" s="58"/>
      <c r="E81" s="18" t="s">
        <v>126</v>
      </c>
      <c r="F81" s="38">
        <v>11</v>
      </c>
      <c r="G81" s="39">
        <v>0</v>
      </c>
      <c r="H81" s="38">
        <f t="shared" si="68"/>
        <v>0</v>
      </c>
      <c r="I81" s="38">
        <f t="shared" si="69"/>
        <v>0</v>
      </c>
      <c r="J81" s="38">
        <f t="shared" si="70"/>
        <v>0</v>
      </c>
      <c r="K81" s="40" t="s">
        <v>60</v>
      </c>
      <c r="Z81" s="38">
        <f t="shared" si="71"/>
        <v>0</v>
      </c>
      <c r="AB81" s="38">
        <f t="shared" si="72"/>
        <v>0</v>
      </c>
      <c r="AC81" s="38">
        <f t="shared" si="73"/>
        <v>0</v>
      </c>
      <c r="AD81" s="38">
        <f t="shared" si="74"/>
        <v>0</v>
      </c>
      <c r="AE81" s="38">
        <f t="shared" si="75"/>
        <v>0</v>
      </c>
      <c r="AF81" s="38">
        <f t="shared" si="76"/>
        <v>0</v>
      </c>
      <c r="AG81" s="38">
        <f t="shared" si="77"/>
        <v>0</v>
      </c>
      <c r="AH81" s="38">
        <f t="shared" si="78"/>
        <v>0</v>
      </c>
      <c r="AI81" s="29" t="s">
        <v>55</v>
      </c>
      <c r="AJ81" s="38">
        <f t="shared" si="79"/>
        <v>0</v>
      </c>
      <c r="AK81" s="38">
        <f t="shared" si="80"/>
        <v>0</v>
      </c>
      <c r="AL81" s="38">
        <f t="shared" si="81"/>
        <v>0</v>
      </c>
      <c r="AN81" s="38">
        <v>0</v>
      </c>
      <c r="AO81" s="38">
        <f>G81*0.922124567</f>
        <v>0</v>
      </c>
      <c r="AP81" s="38">
        <f>G81*(1-0.922124567)</f>
        <v>0</v>
      </c>
      <c r="AQ81" s="41" t="s">
        <v>61</v>
      </c>
      <c r="AV81" s="38">
        <f t="shared" si="82"/>
        <v>0</v>
      </c>
      <c r="AW81" s="38">
        <f t="shared" si="83"/>
        <v>0</v>
      </c>
      <c r="AX81" s="38">
        <f t="shared" si="84"/>
        <v>0</v>
      </c>
      <c r="AY81" s="41" t="s">
        <v>248</v>
      </c>
      <c r="AZ81" s="41" t="s">
        <v>227</v>
      </c>
      <c r="BA81" s="29" t="s">
        <v>64</v>
      </c>
      <c r="BC81" s="38">
        <f t="shared" si="85"/>
        <v>0</v>
      </c>
      <c r="BD81" s="38">
        <f t="shared" si="86"/>
        <v>0</v>
      </c>
      <c r="BE81" s="38">
        <v>0</v>
      </c>
      <c r="BF81" s="38">
        <f>81</f>
        <v>81</v>
      </c>
      <c r="BH81" s="38">
        <f t="shared" si="87"/>
        <v>0</v>
      </c>
      <c r="BI81" s="38">
        <f t="shared" si="88"/>
        <v>0</v>
      </c>
      <c r="BJ81" s="38">
        <f t="shared" si="89"/>
        <v>0</v>
      </c>
      <c r="BK81" s="41" t="s">
        <v>65</v>
      </c>
      <c r="BL81" s="38">
        <v>734</v>
      </c>
      <c r="BW81" s="38">
        <v>0</v>
      </c>
      <c r="BX81" s="26" t="s">
        <v>272</v>
      </c>
    </row>
    <row r="82" spans="1:76" ht="14.4" x14ac:dyDescent="0.3">
      <c r="A82" s="34" t="s">
        <v>51</v>
      </c>
      <c r="B82" s="35" t="s">
        <v>273</v>
      </c>
      <c r="C82" s="78" t="s">
        <v>274</v>
      </c>
      <c r="D82" s="79"/>
      <c r="E82" s="36" t="s">
        <v>4</v>
      </c>
      <c r="F82" s="36" t="s">
        <v>4</v>
      </c>
      <c r="G82" s="25" t="s">
        <v>4</v>
      </c>
      <c r="H82" s="24">
        <f>H83</f>
        <v>0</v>
      </c>
      <c r="I82" s="24">
        <f>I83</f>
        <v>0</v>
      </c>
      <c r="J82" s="24">
        <f>J83</f>
        <v>0</v>
      </c>
      <c r="K82" s="37" t="s">
        <v>51</v>
      </c>
      <c r="AI82" s="29" t="s">
        <v>55</v>
      </c>
    </row>
    <row r="83" spans="1:76" ht="14.4" x14ac:dyDescent="0.3">
      <c r="A83" s="34" t="s">
        <v>51</v>
      </c>
      <c r="B83" s="35" t="s">
        <v>275</v>
      </c>
      <c r="C83" s="78" t="s">
        <v>276</v>
      </c>
      <c r="D83" s="79"/>
      <c r="E83" s="36" t="s">
        <v>4</v>
      </c>
      <c r="F83" s="36" t="s">
        <v>4</v>
      </c>
      <c r="G83" s="25" t="s">
        <v>4</v>
      </c>
      <c r="H83" s="24">
        <f>SUM(H84:H88)</f>
        <v>0</v>
      </c>
      <c r="I83" s="24">
        <f>SUM(I84:I88)</f>
        <v>0</v>
      </c>
      <c r="J83" s="24">
        <f>SUM(J84:J88)</f>
        <v>0</v>
      </c>
      <c r="K83" s="37" t="s">
        <v>51</v>
      </c>
      <c r="AI83" s="29" t="s">
        <v>55</v>
      </c>
      <c r="AS83" s="24">
        <f>SUM(AJ84:AJ88)</f>
        <v>0</v>
      </c>
      <c r="AT83" s="24">
        <f>SUM(AK84:AK88)</f>
        <v>0</v>
      </c>
      <c r="AU83" s="24">
        <f>SUM(AL84:AL88)</f>
        <v>0</v>
      </c>
    </row>
    <row r="84" spans="1:76" ht="14.4" x14ac:dyDescent="0.3">
      <c r="A84" s="17" t="s">
        <v>277</v>
      </c>
      <c r="B84" s="18" t="s">
        <v>278</v>
      </c>
      <c r="C84" s="61" t="s">
        <v>279</v>
      </c>
      <c r="D84" s="58"/>
      <c r="E84" s="18" t="s">
        <v>280</v>
      </c>
      <c r="F84" s="38">
        <v>1</v>
      </c>
      <c r="G84" s="39">
        <v>0</v>
      </c>
      <c r="H84" s="38">
        <f>ROUND(F84*AO84,2)</f>
        <v>0</v>
      </c>
      <c r="I84" s="38">
        <f>ROUND(F84*AP84,2)</f>
        <v>0</v>
      </c>
      <c r="J84" s="38">
        <f>ROUND(F84*G84,2)</f>
        <v>0</v>
      </c>
      <c r="K84" s="40" t="s">
        <v>281</v>
      </c>
      <c r="Z84" s="38">
        <f>ROUND(IF(AQ84="5",BJ84,0),2)</f>
        <v>0</v>
      </c>
      <c r="AB84" s="38">
        <f>ROUND(IF(AQ84="1",BH84,0),2)</f>
        <v>0</v>
      </c>
      <c r="AC84" s="38">
        <f>ROUND(IF(AQ84="1",BI84,0),2)</f>
        <v>0</v>
      </c>
      <c r="AD84" s="38">
        <f>ROUND(IF(AQ84="7",BH84,0),2)</f>
        <v>0</v>
      </c>
      <c r="AE84" s="38">
        <f>ROUND(IF(AQ84="7",BI84,0),2)</f>
        <v>0</v>
      </c>
      <c r="AF84" s="38">
        <f>ROUND(IF(AQ84="2",BH84,0),2)</f>
        <v>0</v>
      </c>
      <c r="AG84" s="38">
        <f>ROUND(IF(AQ84="2",BI84,0),2)</f>
        <v>0</v>
      </c>
      <c r="AH84" s="38">
        <f>ROUND(IF(AQ84="0",BJ84,0),2)</f>
        <v>0</v>
      </c>
      <c r="AI84" s="29" t="s">
        <v>55</v>
      </c>
      <c r="AJ84" s="38">
        <f>IF(AN84=0,J84,0)</f>
        <v>0</v>
      </c>
      <c r="AK84" s="38">
        <f>IF(AN84=12,J84,0)</f>
        <v>0</v>
      </c>
      <c r="AL84" s="38">
        <f>IF(AN84=21,J84,0)</f>
        <v>0</v>
      </c>
      <c r="AN84" s="38">
        <v>0</v>
      </c>
      <c r="AO84" s="38">
        <f>G84*0</f>
        <v>0</v>
      </c>
      <c r="AP84" s="38">
        <f>G84*(1-0)</f>
        <v>0</v>
      </c>
      <c r="AQ84" s="41" t="s">
        <v>282</v>
      </c>
      <c r="AV84" s="38">
        <f>ROUND(AW84+AX84,2)</f>
        <v>0</v>
      </c>
      <c r="AW84" s="38">
        <f>ROUND(F84*AO84,2)</f>
        <v>0</v>
      </c>
      <c r="AX84" s="38">
        <f>ROUND(F84*AP84,2)</f>
        <v>0</v>
      </c>
      <c r="AY84" s="41" t="s">
        <v>283</v>
      </c>
      <c r="AZ84" s="41" t="s">
        <v>284</v>
      </c>
      <c r="BA84" s="29" t="s">
        <v>64</v>
      </c>
      <c r="BC84" s="38">
        <f>AW84+AX84</f>
        <v>0</v>
      </c>
      <c r="BD84" s="38">
        <f>G84/(100-BE84)*100</f>
        <v>0</v>
      </c>
      <c r="BE84" s="38">
        <v>0</v>
      </c>
      <c r="BF84" s="38">
        <f>84</f>
        <v>84</v>
      </c>
      <c r="BH84" s="38">
        <f>F84*AO84</f>
        <v>0</v>
      </c>
      <c r="BI84" s="38">
        <f>F84*AP84</f>
        <v>0</v>
      </c>
      <c r="BJ84" s="38">
        <f>F84*G84</f>
        <v>0</v>
      </c>
      <c r="BK84" s="41" t="s">
        <v>65</v>
      </c>
      <c r="BL84" s="38"/>
      <c r="BM84" s="38">
        <f>F84*G84</f>
        <v>0</v>
      </c>
      <c r="BW84" s="38">
        <v>0</v>
      </c>
      <c r="BX84" s="26" t="s">
        <v>279</v>
      </c>
    </row>
    <row r="85" spans="1:76" ht="14.4" x14ac:dyDescent="0.3">
      <c r="A85" s="17" t="s">
        <v>285</v>
      </c>
      <c r="B85" s="18" t="s">
        <v>286</v>
      </c>
      <c r="C85" s="61" t="s">
        <v>287</v>
      </c>
      <c r="D85" s="58"/>
      <c r="E85" s="18" t="s">
        <v>280</v>
      </c>
      <c r="F85" s="38">
        <v>1</v>
      </c>
      <c r="G85" s="39">
        <v>0</v>
      </c>
      <c r="H85" s="38">
        <f>ROUND(F85*AO85,2)</f>
        <v>0</v>
      </c>
      <c r="I85" s="38">
        <f>ROUND(F85*AP85,2)</f>
        <v>0</v>
      </c>
      <c r="J85" s="38">
        <f>ROUND(F85*G85,2)</f>
        <v>0</v>
      </c>
      <c r="K85" s="40" t="s">
        <v>281</v>
      </c>
      <c r="Z85" s="38">
        <f>ROUND(IF(AQ85="5",BJ85,0),2)</f>
        <v>0</v>
      </c>
      <c r="AB85" s="38">
        <f>ROUND(IF(AQ85="1",BH85,0),2)</f>
        <v>0</v>
      </c>
      <c r="AC85" s="38">
        <f>ROUND(IF(AQ85="1",BI85,0),2)</f>
        <v>0</v>
      </c>
      <c r="AD85" s="38">
        <f>ROUND(IF(AQ85="7",BH85,0),2)</f>
        <v>0</v>
      </c>
      <c r="AE85" s="38">
        <f>ROUND(IF(AQ85="7",BI85,0),2)</f>
        <v>0</v>
      </c>
      <c r="AF85" s="38">
        <f>ROUND(IF(AQ85="2",BH85,0),2)</f>
        <v>0</v>
      </c>
      <c r="AG85" s="38">
        <f>ROUND(IF(AQ85="2",BI85,0),2)</f>
        <v>0</v>
      </c>
      <c r="AH85" s="38">
        <f>ROUND(IF(AQ85="0",BJ85,0),2)</f>
        <v>0</v>
      </c>
      <c r="AI85" s="29" t="s">
        <v>55</v>
      </c>
      <c r="AJ85" s="38">
        <f>IF(AN85=0,J85,0)</f>
        <v>0</v>
      </c>
      <c r="AK85" s="38">
        <f>IF(AN85=12,J85,0)</f>
        <v>0</v>
      </c>
      <c r="AL85" s="38">
        <f>IF(AN85=21,J85,0)</f>
        <v>0</v>
      </c>
      <c r="AN85" s="38">
        <v>0</v>
      </c>
      <c r="AO85" s="38">
        <f>G85*0</f>
        <v>0</v>
      </c>
      <c r="AP85" s="38">
        <f>G85*(1-0)</f>
        <v>0</v>
      </c>
      <c r="AQ85" s="41" t="s">
        <v>282</v>
      </c>
      <c r="AV85" s="38">
        <f>ROUND(AW85+AX85,2)</f>
        <v>0</v>
      </c>
      <c r="AW85" s="38">
        <f>ROUND(F85*AO85,2)</f>
        <v>0</v>
      </c>
      <c r="AX85" s="38">
        <f>ROUND(F85*AP85,2)</f>
        <v>0</v>
      </c>
      <c r="AY85" s="41" t="s">
        <v>283</v>
      </c>
      <c r="AZ85" s="41" t="s">
        <v>284</v>
      </c>
      <c r="BA85" s="29" t="s">
        <v>64</v>
      </c>
      <c r="BC85" s="38">
        <f>AW85+AX85</f>
        <v>0</v>
      </c>
      <c r="BD85" s="38">
        <f>G85/(100-BE85)*100</f>
        <v>0</v>
      </c>
      <c r="BE85" s="38">
        <v>0</v>
      </c>
      <c r="BF85" s="38">
        <f>85</f>
        <v>85</v>
      </c>
      <c r="BH85" s="38">
        <f>F85*AO85</f>
        <v>0</v>
      </c>
      <c r="BI85" s="38">
        <f>F85*AP85</f>
        <v>0</v>
      </c>
      <c r="BJ85" s="38">
        <f>F85*G85</f>
        <v>0</v>
      </c>
      <c r="BK85" s="41" t="s">
        <v>65</v>
      </c>
      <c r="BL85" s="38"/>
      <c r="BM85" s="38">
        <f>F85*G85</f>
        <v>0</v>
      </c>
      <c r="BW85" s="38">
        <v>0</v>
      </c>
      <c r="BX85" s="26" t="s">
        <v>287</v>
      </c>
    </row>
    <row r="86" spans="1:76" ht="14.4" x14ac:dyDescent="0.3">
      <c r="A86" s="17" t="s">
        <v>288</v>
      </c>
      <c r="B86" s="18" t="s">
        <v>289</v>
      </c>
      <c r="C86" s="61" t="s">
        <v>290</v>
      </c>
      <c r="D86" s="58"/>
      <c r="E86" s="18" t="s">
        <v>280</v>
      </c>
      <c r="F86" s="38">
        <v>1</v>
      </c>
      <c r="G86" s="39">
        <v>0</v>
      </c>
      <c r="H86" s="38">
        <f>ROUND(F86*AO86,2)</f>
        <v>0</v>
      </c>
      <c r="I86" s="38">
        <f>ROUND(F86*AP86,2)</f>
        <v>0</v>
      </c>
      <c r="J86" s="38">
        <f>ROUND(F86*G86,2)</f>
        <v>0</v>
      </c>
      <c r="K86" s="40" t="s">
        <v>281</v>
      </c>
      <c r="Z86" s="38">
        <f>ROUND(IF(AQ86="5",BJ86,0),2)</f>
        <v>0</v>
      </c>
      <c r="AB86" s="38">
        <f>ROUND(IF(AQ86="1",BH86,0),2)</f>
        <v>0</v>
      </c>
      <c r="AC86" s="38">
        <f>ROUND(IF(AQ86="1",BI86,0),2)</f>
        <v>0</v>
      </c>
      <c r="AD86" s="38">
        <f>ROUND(IF(AQ86="7",BH86,0),2)</f>
        <v>0</v>
      </c>
      <c r="AE86" s="38">
        <f>ROUND(IF(AQ86="7",BI86,0),2)</f>
        <v>0</v>
      </c>
      <c r="AF86" s="38">
        <f>ROUND(IF(AQ86="2",BH86,0),2)</f>
        <v>0</v>
      </c>
      <c r="AG86" s="38">
        <f>ROUND(IF(AQ86="2",BI86,0),2)</f>
        <v>0</v>
      </c>
      <c r="AH86" s="38">
        <f>ROUND(IF(AQ86="0",BJ86,0),2)</f>
        <v>0</v>
      </c>
      <c r="AI86" s="29" t="s">
        <v>55</v>
      </c>
      <c r="AJ86" s="38">
        <f>IF(AN86=0,J86,0)</f>
        <v>0</v>
      </c>
      <c r="AK86" s="38">
        <f>IF(AN86=12,J86,0)</f>
        <v>0</v>
      </c>
      <c r="AL86" s="38">
        <f>IF(AN86=21,J86,0)</f>
        <v>0</v>
      </c>
      <c r="AN86" s="38">
        <v>0</v>
      </c>
      <c r="AO86" s="38">
        <f>G86*0</f>
        <v>0</v>
      </c>
      <c r="AP86" s="38">
        <f>G86*(1-0)</f>
        <v>0</v>
      </c>
      <c r="AQ86" s="41" t="s">
        <v>282</v>
      </c>
      <c r="AV86" s="38">
        <f>ROUND(AW86+AX86,2)</f>
        <v>0</v>
      </c>
      <c r="AW86" s="38">
        <f>ROUND(F86*AO86,2)</f>
        <v>0</v>
      </c>
      <c r="AX86" s="38">
        <f>ROUND(F86*AP86,2)</f>
        <v>0</v>
      </c>
      <c r="AY86" s="41" t="s">
        <v>283</v>
      </c>
      <c r="AZ86" s="41" t="s">
        <v>284</v>
      </c>
      <c r="BA86" s="29" t="s">
        <v>64</v>
      </c>
      <c r="BC86" s="38">
        <f>AW86+AX86</f>
        <v>0</v>
      </c>
      <c r="BD86" s="38">
        <f>G86/(100-BE86)*100</f>
        <v>0</v>
      </c>
      <c r="BE86" s="38">
        <v>0</v>
      </c>
      <c r="BF86" s="38">
        <f>86</f>
        <v>86</v>
      </c>
      <c r="BH86" s="38">
        <f>F86*AO86</f>
        <v>0</v>
      </c>
      <c r="BI86" s="38">
        <f>F86*AP86</f>
        <v>0</v>
      </c>
      <c r="BJ86" s="38">
        <f>F86*G86</f>
        <v>0</v>
      </c>
      <c r="BK86" s="41" t="s">
        <v>65</v>
      </c>
      <c r="BL86" s="38"/>
      <c r="BM86" s="38">
        <f>F86*G86</f>
        <v>0</v>
      </c>
      <c r="BW86" s="38">
        <v>0</v>
      </c>
      <c r="BX86" s="26" t="s">
        <v>290</v>
      </c>
    </row>
    <row r="87" spans="1:76" ht="14.4" x14ac:dyDescent="0.3">
      <c r="A87" s="17" t="s">
        <v>291</v>
      </c>
      <c r="B87" s="18" t="s">
        <v>292</v>
      </c>
      <c r="C87" s="61" t="s">
        <v>293</v>
      </c>
      <c r="D87" s="58"/>
      <c r="E87" s="18" t="s">
        <v>133</v>
      </c>
      <c r="F87" s="38">
        <v>1</v>
      </c>
      <c r="G87" s="39">
        <v>0</v>
      </c>
      <c r="H87" s="38">
        <f>ROUND(F87*AO87,2)</f>
        <v>0</v>
      </c>
      <c r="I87" s="38">
        <f>ROUND(F87*AP87,2)</f>
        <v>0</v>
      </c>
      <c r="J87" s="38">
        <f>ROUND(F87*G87,2)</f>
        <v>0</v>
      </c>
      <c r="K87" s="40" t="s">
        <v>294</v>
      </c>
      <c r="Z87" s="38">
        <f>ROUND(IF(AQ87="5",BJ87,0),2)</f>
        <v>0</v>
      </c>
      <c r="AB87" s="38">
        <f>ROUND(IF(AQ87="1",BH87,0),2)</f>
        <v>0</v>
      </c>
      <c r="AC87" s="38">
        <f>ROUND(IF(AQ87="1",BI87,0),2)</f>
        <v>0</v>
      </c>
      <c r="AD87" s="38">
        <f>ROUND(IF(AQ87="7",BH87,0),2)</f>
        <v>0</v>
      </c>
      <c r="AE87" s="38">
        <f>ROUND(IF(AQ87="7",BI87,0),2)</f>
        <v>0</v>
      </c>
      <c r="AF87" s="38">
        <f>ROUND(IF(AQ87="2",BH87,0),2)</f>
        <v>0</v>
      </c>
      <c r="AG87" s="38">
        <f>ROUND(IF(AQ87="2",BI87,0),2)</f>
        <v>0</v>
      </c>
      <c r="AH87" s="38">
        <f>ROUND(IF(AQ87="0",BJ87,0),2)</f>
        <v>0</v>
      </c>
      <c r="AI87" s="29" t="s">
        <v>55</v>
      </c>
      <c r="AJ87" s="38">
        <f>IF(AN87=0,J87,0)</f>
        <v>0</v>
      </c>
      <c r="AK87" s="38">
        <f>IF(AN87=12,J87,0)</f>
        <v>0</v>
      </c>
      <c r="AL87" s="38">
        <f>IF(AN87=21,J87,0)</f>
        <v>0</v>
      </c>
      <c r="AN87" s="38">
        <v>0</v>
      </c>
      <c r="AO87" s="38">
        <f>G87*0</f>
        <v>0</v>
      </c>
      <c r="AP87" s="38">
        <f>G87*(1-0)</f>
        <v>0</v>
      </c>
      <c r="AQ87" s="41" t="s">
        <v>282</v>
      </c>
      <c r="AV87" s="38">
        <f>ROUND(AW87+AX87,2)</f>
        <v>0</v>
      </c>
      <c r="AW87" s="38">
        <f>ROUND(F87*AO87,2)</f>
        <v>0</v>
      </c>
      <c r="AX87" s="38">
        <f>ROUND(F87*AP87,2)</f>
        <v>0</v>
      </c>
      <c r="AY87" s="41" t="s">
        <v>283</v>
      </c>
      <c r="AZ87" s="41" t="s">
        <v>284</v>
      </c>
      <c r="BA87" s="29" t="s">
        <v>64</v>
      </c>
      <c r="BC87" s="38">
        <f>AW87+AX87</f>
        <v>0</v>
      </c>
      <c r="BD87" s="38">
        <f>G87/(100-BE87)*100</f>
        <v>0</v>
      </c>
      <c r="BE87" s="38">
        <v>0</v>
      </c>
      <c r="BF87" s="38">
        <f>87</f>
        <v>87</v>
      </c>
      <c r="BH87" s="38">
        <f>F87*AO87</f>
        <v>0</v>
      </c>
      <c r="BI87" s="38">
        <f>F87*AP87</f>
        <v>0</v>
      </c>
      <c r="BJ87" s="38">
        <f>F87*G87</f>
        <v>0</v>
      </c>
      <c r="BK87" s="41" t="s">
        <v>65</v>
      </c>
      <c r="BL87" s="38"/>
      <c r="BM87" s="38">
        <f>F87*G87</f>
        <v>0</v>
      </c>
      <c r="BW87" s="38">
        <v>0</v>
      </c>
      <c r="BX87" s="26" t="s">
        <v>293</v>
      </c>
    </row>
    <row r="88" spans="1:76" ht="14.4" x14ac:dyDescent="0.3">
      <c r="A88" s="17" t="s">
        <v>295</v>
      </c>
      <c r="B88" s="18" t="s">
        <v>296</v>
      </c>
      <c r="C88" s="61" t="s">
        <v>297</v>
      </c>
      <c r="D88" s="58"/>
      <c r="E88" s="18" t="s">
        <v>280</v>
      </c>
      <c r="F88" s="38">
        <v>1</v>
      </c>
      <c r="G88" s="39">
        <v>0</v>
      </c>
      <c r="H88" s="38">
        <f>ROUND(F88*AO88,2)</f>
        <v>0</v>
      </c>
      <c r="I88" s="38">
        <f>ROUND(F88*AP88,2)</f>
        <v>0</v>
      </c>
      <c r="J88" s="38">
        <f>ROUND(F88*G88,2)</f>
        <v>0</v>
      </c>
      <c r="K88" s="40" t="s">
        <v>281</v>
      </c>
      <c r="Z88" s="38">
        <f>ROUND(IF(AQ88="5",BJ88,0),2)</f>
        <v>0</v>
      </c>
      <c r="AB88" s="38">
        <f>ROUND(IF(AQ88="1",BH88,0),2)</f>
        <v>0</v>
      </c>
      <c r="AC88" s="38">
        <f>ROUND(IF(AQ88="1",BI88,0),2)</f>
        <v>0</v>
      </c>
      <c r="AD88" s="38">
        <f>ROUND(IF(AQ88="7",BH88,0),2)</f>
        <v>0</v>
      </c>
      <c r="AE88" s="38">
        <f>ROUND(IF(AQ88="7",BI88,0),2)</f>
        <v>0</v>
      </c>
      <c r="AF88" s="38">
        <f>ROUND(IF(AQ88="2",BH88,0),2)</f>
        <v>0</v>
      </c>
      <c r="AG88" s="38">
        <f>ROUND(IF(AQ88="2",BI88,0),2)</f>
        <v>0</v>
      </c>
      <c r="AH88" s="38">
        <f>ROUND(IF(AQ88="0",BJ88,0),2)</f>
        <v>0</v>
      </c>
      <c r="AI88" s="29" t="s">
        <v>55</v>
      </c>
      <c r="AJ88" s="38">
        <f>IF(AN88=0,J88,0)</f>
        <v>0</v>
      </c>
      <c r="AK88" s="38">
        <f>IF(AN88=12,J88,0)</f>
        <v>0</v>
      </c>
      <c r="AL88" s="38">
        <f>IF(AN88=21,J88,0)</f>
        <v>0</v>
      </c>
      <c r="AN88" s="38">
        <v>0</v>
      </c>
      <c r="AO88" s="38">
        <f>G88*0</f>
        <v>0</v>
      </c>
      <c r="AP88" s="38">
        <f>G88*(1-0)</f>
        <v>0</v>
      </c>
      <c r="AQ88" s="41" t="s">
        <v>282</v>
      </c>
      <c r="AV88" s="38">
        <f>ROUND(AW88+AX88,2)</f>
        <v>0</v>
      </c>
      <c r="AW88" s="38">
        <f>ROUND(F88*AO88,2)</f>
        <v>0</v>
      </c>
      <c r="AX88" s="38">
        <f>ROUND(F88*AP88,2)</f>
        <v>0</v>
      </c>
      <c r="AY88" s="41" t="s">
        <v>283</v>
      </c>
      <c r="AZ88" s="41" t="s">
        <v>284</v>
      </c>
      <c r="BA88" s="29" t="s">
        <v>64</v>
      </c>
      <c r="BC88" s="38">
        <f>AW88+AX88</f>
        <v>0</v>
      </c>
      <c r="BD88" s="38">
        <f>G88/(100-BE88)*100</f>
        <v>0</v>
      </c>
      <c r="BE88" s="38">
        <v>0</v>
      </c>
      <c r="BF88" s="38">
        <f>88</f>
        <v>88</v>
      </c>
      <c r="BH88" s="38">
        <f>F88*AO88</f>
        <v>0</v>
      </c>
      <c r="BI88" s="38">
        <f>F88*AP88</f>
        <v>0</v>
      </c>
      <c r="BJ88" s="38">
        <f>F88*G88</f>
        <v>0</v>
      </c>
      <c r="BK88" s="41" t="s">
        <v>65</v>
      </c>
      <c r="BL88" s="38"/>
      <c r="BM88" s="38">
        <f>F88*G88</f>
        <v>0</v>
      </c>
      <c r="BW88" s="38">
        <v>0</v>
      </c>
      <c r="BX88" s="26" t="s">
        <v>297</v>
      </c>
    </row>
    <row r="89" spans="1:76" ht="14.4" x14ac:dyDescent="0.3">
      <c r="A89" s="34" t="s">
        <v>51</v>
      </c>
      <c r="B89" s="35" t="s">
        <v>51</v>
      </c>
      <c r="C89" s="78" t="s">
        <v>298</v>
      </c>
      <c r="D89" s="79"/>
      <c r="E89" s="36" t="s">
        <v>4</v>
      </c>
      <c r="F89" s="36" t="s">
        <v>4</v>
      </c>
      <c r="G89" s="25" t="s">
        <v>4</v>
      </c>
      <c r="H89" s="24">
        <f>H90+H92+H98+H104+H106+H113</f>
        <v>0</v>
      </c>
      <c r="I89" s="24">
        <f>I90+I92+I98+I104+I106+I113</f>
        <v>0</v>
      </c>
      <c r="J89" s="24">
        <f>J90+J92+J98+J104+J106+J113</f>
        <v>0</v>
      </c>
      <c r="K89" s="37" t="s">
        <v>51</v>
      </c>
    </row>
    <row r="90" spans="1:76" ht="14.4" x14ac:dyDescent="0.3">
      <c r="A90" s="34" t="s">
        <v>51</v>
      </c>
      <c r="B90" s="35" t="s">
        <v>53</v>
      </c>
      <c r="C90" s="78" t="s">
        <v>54</v>
      </c>
      <c r="D90" s="79"/>
      <c r="E90" s="36" t="s">
        <v>4</v>
      </c>
      <c r="F90" s="36" t="s">
        <v>4</v>
      </c>
      <c r="G90" s="25" t="s">
        <v>4</v>
      </c>
      <c r="H90" s="24">
        <f>SUM(H91:H91)</f>
        <v>0</v>
      </c>
      <c r="I90" s="24">
        <f>SUM(I91:I91)</f>
        <v>0</v>
      </c>
      <c r="J90" s="24">
        <f>SUM(J91:J91)</f>
        <v>0</v>
      </c>
      <c r="K90" s="37" t="s">
        <v>51</v>
      </c>
      <c r="AI90" s="29" t="s">
        <v>299</v>
      </c>
      <c r="AS90" s="24">
        <f>SUM(AJ91:AJ91)</f>
        <v>0</v>
      </c>
      <c r="AT90" s="24">
        <f>SUM(AK91:AK91)</f>
        <v>0</v>
      </c>
      <c r="AU90" s="24">
        <f>SUM(AL91:AL91)</f>
        <v>0</v>
      </c>
    </row>
    <row r="91" spans="1:76" ht="14.4" x14ac:dyDescent="0.3">
      <c r="A91" s="17" t="s">
        <v>300</v>
      </c>
      <c r="B91" s="18" t="s">
        <v>301</v>
      </c>
      <c r="C91" s="61" t="s">
        <v>302</v>
      </c>
      <c r="D91" s="58"/>
      <c r="E91" s="18" t="s">
        <v>59</v>
      </c>
      <c r="F91" s="38">
        <v>410</v>
      </c>
      <c r="G91" s="39">
        <v>0</v>
      </c>
      <c r="H91" s="38">
        <f>ROUND(F91*AO91,2)</f>
        <v>0</v>
      </c>
      <c r="I91" s="38">
        <f>ROUND(F91*AP91,2)</f>
        <v>0</v>
      </c>
      <c r="J91" s="38">
        <f>ROUND(F91*G91,2)</f>
        <v>0</v>
      </c>
      <c r="K91" s="40" t="s">
        <v>60</v>
      </c>
      <c r="Z91" s="38">
        <f>ROUND(IF(AQ91="5",BJ91,0),2)</f>
        <v>0</v>
      </c>
      <c r="AB91" s="38">
        <f>ROUND(IF(AQ91="1",BH91,0),2)</f>
        <v>0</v>
      </c>
      <c r="AC91" s="38">
        <f>ROUND(IF(AQ91="1",BI91,0),2)</f>
        <v>0</v>
      </c>
      <c r="AD91" s="38">
        <f>ROUND(IF(AQ91="7",BH91,0),2)</f>
        <v>0</v>
      </c>
      <c r="AE91" s="38">
        <f>ROUND(IF(AQ91="7",BI91,0),2)</f>
        <v>0</v>
      </c>
      <c r="AF91" s="38">
        <f>ROUND(IF(AQ91="2",BH91,0),2)</f>
        <v>0</v>
      </c>
      <c r="AG91" s="38">
        <f>ROUND(IF(AQ91="2",BI91,0),2)</f>
        <v>0</v>
      </c>
      <c r="AH91" s="38">
        <f>ROUND(IF(AQ91="0",BJ91,0),2)</f>
        <v>0</v>
      </c>
      <c r="AI91" s="29" t="s">
        <v>299</v>
      </c>
      <c r="AJ91" s="38">
        <f>IF(AN91=0,J91,0)</f>
        <v>0</v>
      </c>
      <c r="AK91" s="38">
        <f>IF(AN91=12,J91,0)</f>
        <v>0</v>
      </c>
      <c r="AL91" s="38">
        <f>IF(AN91=21,J91,0)</f>
        <v>0</v>
      </c>
      <c r="AN91" s="38">
        <v>0</v>
      </c>
      <c r="AO91" s="38">
        <f>G91*0</f>
        <v>0</v>
      </c>
      <c r="AP91" s="38">
        <f>G91*(1-0)</f>
        <v>0</v>
      </c>
      <c r="AQ91" s="41" t="s">
        <v>61</v>
      </c>
      <c r="AV91" s="38">
        <f>ROUND(AW91+AX91,2)</f>
        <v>0</v>
      </c>
      <c r="AW91" s="38">
        <f>ROUND(F91*AO91,2)</f>
        <v>0</v>
      </c>
      <c r="AX91" s="38">
        <f>ROUND(F91*AP91,2)</f>
        <v>0</v>
      </c>
      <c r="AY91" s="41" t="s">
        <v>62</v>
      </c>
      <c r="AZ91" s="41" t="s">
        <v>303</v>
      </c>
      <c r="BA91" s="29" t="s">
        <v>304</v>
      </c>
      <c r="BC91" s="38">
        <f>AW91+AX91</f>
        <v>0</v>
      </c>
      <c r="BD91" s="38">
        <f>G91/(100-BE91)*100</f>
        <v>0</v>
      </c>
      <c r="BE91" s="38">
        <v>0</v>
      </c>
      <c r="BF91" s="38">
        <f>91</f>
        <v>91</v>
      </c>
      <c r="BH91" s="38">
        <f>F91*AO91</f>
        <v>0</v>
      </c>
      <c r="BI91" s="38">
        <f>F91*AP91</f>
        <v>0</v>
      </c>
      <c r="BJ91" s="38">
        <f>F91*G91</f>
        <v>0</v>
      </c>
      <c r="BK91" s="41" t="s">
        <v>65</v>
      </c>
      <c r="BL91" s="38">
        <v>713</v>
      </c>
      <c r="BW91" s="38">
        <v>0</v>
      </c>
      <c r="BX91" s="26" t="s">
        <v>302</v>
      </c>
    </row>
    <row r="92" spans="1:76" ht="14.4" x14ac:dyDescent="0.3">
      <c r="A92" s="34" t="s">
        <v>51</v>
      </c>
      <c r="B92" s="35" t="s">
        <v>305</v>
      </c>
      <c r="C92" s="78" t="s">
        <v>306</v>
      </c>
      <c r="D92" s="79"/>
      <c r="E92" s="36" t="s">
        <v>4</v>
      </c>
      <c r="F92" s="36" t="s">
        <v>4</v>
      </c>
      <c r="G92" s="25" t="s">
        <v>4</v>
      </c>
      <c r="H92" s="24">
        <f>SUM(H93:H97)</f>
        <v>0</v>
      </c>
      <c r="I92" s="24">
        <f>SUM(I93:I97)</f>
        <v>0</v>
      </c>
      <c r="J92" s="24">
        <f>SUM(J93:J97)</f>
        <v>0</v>
      </c>
      <c r="K92" s="37" t="s">
        <v>51</v>
      </c>
      <c r="AI92" s="29" t="s">
        <v>299</v>
      </c>
      <c r="AS92" s="24">
        <f>SUM(AJ93:AJ97)</f>
        <v>0</v>
      </c>
      <c r="AT92" s="24">
        <f>SUM(AK93:AK97)</f>
        <v>0</v>
      </c>
      <c r="AU92" s="24">
        <f>SUM(AL93:AL97)</f>
        <v>0</v>
      </c>
    </row>
    <row r="93" spans="1:76" ht="14.4" x14ac:dyDescent="0.3">
      <c r="A93" s="17" t="s">
        <v>307</v>
      </c>
      <c r="B93" s="18" t="s">
        <v>308</v>
      </c>
      <c r="C93" s="61" t="s">
        <v>309</v>
      </c>
      <c r="D93" s="58"/>
      <c r="E93" s="18" t="s">
        <v>69</v>
      </c>
      <c r="F93" s="38">
        <v>123.1</v>
      </c>
      <c r="G93" s="39">
        <v>0</v>
      </c>
      <c r="H93" s="38">
        <f>ROUND(F93*AO93,2)</f>
        <v>0</v>
      </c>
      <c r="I93" s="38">
        <f>ROUND(F93*AP93,2)</f>
        <v>0</v>
      </c>
      <c r="J93" s="38">
        <f>ROUND(F93*G93,2)</f>
        <v>0</v>
      </c>
      <c r="K93" s="40" t="s">
        <v>60</v>
      </c>
      <c r="Z93" s="38">
        <f>ROUND(IF(AQ93="5",BJ93,0),2)</f>
        <v>0</v>
      </c>
      <c r="AB93" s="38">
        <f>ROUND(IF(AQ93="1",BH93,0),2)</f>
        <v>0</v>
      </c>
      <c r="AC93" s="38">
        <f>ROUND(IF(AQ93="1",BI93,0),2)</f>
        <v>0</v>
      </c>
      <c r="AD93" s="38">
        <f>ROUND(IF(AQ93="7",BH93,0),2)</f>
        <v>0</v>
      </c>
      <c r="AE93" s="38">
        <f>ROUND(IF(AQ93="7",BI93,0),2)</f>
        <v>0</v>
      </c>
      <c r="AF93" s="38">
        <f>ROUND(IF(AQ93="2",BH93,0),2)</f>
        <v>0</v>
      </c>
      <c r="AG93" s="38">
        <f>ROUND(IF(AQ93="2",BI93,0),2)</f>
        <v>0</v>
      </c>
      <c r="AH93" s="38">
        <f>ROUND(IF(AQ93="0",BJ93,0),2)</f>
        <v>0</v>
      </c>
      <c r="AI93" s="29" t="s">
        <v>299</v>
      </c>
      <c r="AJ93" s="38">
        <f>IF(AN93=0,J93,0)</f>
        <v>0</v>
      </c>
      <c r="AK93" s="38">
        <f>IF(AN93=12,J93,0)</f>
        <v>0</v>
      </c>
      <c r="AL93" s="38">
        <f>IF(AN93=21,J93,0)</f>
        <v>0</v>
      </c>
      <c r="AN93" s="38">
        <v>0</v>
      </c>
      <c r="AO93" s="38">
        <f>G93*0.17007319</f>
        <v>0</v>
      </c>
      <c r="AP93" s="38">
        <f>G93*(1-0.17007319)</f>
        <v>0</v>
      </c>
      <c r="AQ93" s="41" t="s">
        <v>61</v>
      </c>
      <c r="AV93" s="38">
        <f>ROUND(AW93+AX93,2)</f>
        <v>0</v>
      </c>
      <c r="AW93" s="38">
        <f>ROUND(F93*AO93,2)</f>
        <v>0</v>
      </c>
      <c r="AX93" s="38">
        <f>ROUND(F93*AP93,2)</f>
        <v>0</v>
      </c>
      <c r="AY93" s="41" t="s">
        <v>310</v>
      </c>
      <c r="AZ93" s="41" t="s">
        <v>311</v>
      </c>
      <c r="BA93" s="29" t="s">
        <v>304</v>
      </c>
      <c r="BC93" s="38">
        <f>AW93+AX93</f>
        <v>0</v>
      </c>
      <c r="BD93" s="38">
        <f>G93/(100-BE93)*100</f>
        <v>0</v>
      </c>
      <c r="BE93" s="38">
        <v>0</v>
      </c>
      <c r="BF93" s="38">
        <f>93</f>
        <v>93</v>
      </c>
      <c r="BH93" s="38">
        <f>F93*AO93</f>
        <v>0</v>
      </c>
      <c r="BI93" s="38">
        <f>F93*AP93</f>
        <v>0</v>
      </c>
      <c r="BJ93" s="38">
        <f>F93*G93</f>
        <v>0</v>
      </c>
      <c r="BK93" s="41" t="s">
        <v>65</v>
      </c>
      <c r="BL93" s="38">
        <v>733</v>
      </c>
      <c r="BW93" s="38">
        <v>0</v>
      </c>
      <c r="BX93" s="26" t="s">
        <v>309</v>
      </c>
    </row>
    <row r="94" spans="1:76" ht="14.4" x14ac:dyDescent="0.3">
      <c r="A94" s="17" t="s">
        <v>312</v>
      </c>
      <c r="B94" s="18" t="s">
        <v>313</v>
      </c>
      <c r="C94" s="61" t="s">
        <v>314</v>
      </c>
      <c r="D94" s="58"/>
      <c r="E94" s="18" t="s">
        <v>69</v>
      </c>
      <c r="F94" s="38">
        <v>77.7</v>
      </c>
      <c r="G94" s="39">
        <v>0</v>
      </c>
      <c r="H94" s="38">
        <f>ROUND(F94*AO94,2)</f>
        <v>0</v>
      </c>
      <c r="I94" s="38">
        <f>ROUND(F94*AP94,2)</f>
        <v>0</v>
      </c>
      <c r="J94" s="38">
        <f>ROUND(F94*G94,2)</f>
        <v>0</v>
      </c>
      <c r="K94" s="40" t="s">
        <v>60</v>
      </c>
      <c r="Z94" s="38">
        <f>ROUND(IF(AQ94="5",BJ94,0),2)</f>
        <v>0</v>
      </c>
      <c r="AB94" s="38">
        <f>ROUND(IF(AQ94="1",BH94,0),2)</f>
        <v>0</v>
      </c>
      <c r="AC94" s="38">
        <f>ROUND(IF(AQ94="1",BI94,0),2)</f>
        <v>0</v>
      </c>
      <c r="AD94" s="38">
        <f>ROUND(IF(AQ94="7",BH94,0),2)</f>
        <v>0</v>
      </c>
      <c r="AE94" s="38">
        <f>ROUND(IF(AQ94="7",BI94,0),2)</f>
        <v>0</v>
      </c>
      <c r="AF94" s="38">
        <f>ROUND(IF(AQ94="2",BH94,0),2)</f>
        <v>0</v>
      </c>
      <c r="AG94" s="38">
        <f>ROUND(IF(AQ94="2",BI94,0),2)</f>
        <v>0</v>
      </c>
      <c r="AH94" s="38">
        <f>ROUND(IF(AQ94="0",BJ94,0),2)</f>
        <v>0</v>
      </c>
      <c r="AI94" s="29" t="s">
        <v>299</v>
      </c>
      <c r="AJ94" s="38">
        <f>IF(AN94=0,J94,0)</f>
        <v>0</v>
      </c>
      <c r="AK94" s="38">
        <f>IF(AN94=12,J94,0)</f>
        <v>0</v>
      </c>
      <c r="AL94" s="38">
        <f>IF(AN94=21,J94,0)</f>
        <v>0</v>
      </c>
      <c r="AN94" s="38">
        <v>0</v>
      </c>
      <c r="AO94" s="38">
        <f>G94*0.222209619</f>
        <v>0</v>
      </c>
      <c r="AP94" s="38">
        <f>G94*(1-0.222209619)</f>
        <v>0</v>
      </c>
      <c r="AQ94" s="41" t="s">
        <v>61</v>
      </c>
      <c r="AV94" s="38">
        <f>ROUND(AW94+AX94,2)</f>
        <v>0</v>
      </c>
      <c r="AW94" s="38">
        <f>ROUND(F94*AO94,2)</f>
        <v>0</v>
      </c>
      <c r="AX94" s="38">
        <f>ROUND(F94*AP94,2)</f>
        <v>0</v>
      </c>
      <c r="AY94" s="41" t="s">
        <v>310</v>
      </c>
      <c r="AZ94" s="41" t="s">
        <v>311</v>
      </c>
      <c r="BA94" s="29" t="s">
        <v>304</v>
      </c>
      <c r="BC94" s="38">
        <f>AW94+AX94</f>
        <v>0</v>
      </c>
      <c r="BD94" s="38">
        <f>G94/(100-BE94)*100</f>
        <v>0</v>
      </c>
      <c r="BE94" s="38">
        <v>0</v>
      </c>
      <c r="BF94" s="38">
        <f>94</f>
        <v>94</v>
      </c>
      <c r="BH94" s="38">
        <f>F94*AO94</f>
        <v>0</v>
      </c>
      <c r="BI94" s="38">
        <f>F94*AP94</f>
        <v>0</v>
      </c>
      <c r="BJ94" s="38">
        <f>F94*G94</f>
        <v>0</v>
      </c>
      <c r="BK94" s="41" t="s">
        <v>65</v>
      </c>
      <c r="BL94" s="38">
        <v>733</v>
      </c>
      <c r="BW94" s="38">
        <v>0</v>
      </c>
      <c r="BX94" s="26" t="s">
        <v>314</v>
      </c>
    </row>
    <row r="95" spans="1:76" ht="14.4" x14ac:dyDescent="0.3">
      <c r="A95" s="17" t="s">
        <v>315</v>
      </c>
      <c r="B95" s="18" t="s">
        <v>316</v>
      </c>
      <c r="C95" s="61" t="s">
        <v>317</v>
      </c>
      <c r="D95" s="58"/>
      <c r="E95" s="18" t="s">
        <v>69</v>
      </c>
      <c r="F95" s="38">
        <v>739.8</v>
      </c>
      <c r="G95" s="39">
        <v>0</v>
      </c>
      <c r="H95" s="38">
        <f>ROUND(F95*AO95,2)</f>
        <v>0</v>
      </c>
      <c r="I95" s="38">
        <f>ROUND(F95*AP95,2)</f>
        <v>0</v>
      </c>
      <c r="J95" s="38">
        <f>ROUND(F95*G95,2)</f>
        <v>0</v>
      </c>
      <c r="K95" s="40" t="s">
        <v>60</v>
      </c>
      <c r="Z95" s="38">
        <f>ROUND(IF(AQ95="5",BJ95,0),2)</f>
        <v>0</v>
      </c>
      <c r="AB95" s="38">
        <f>ROUND(IF(AQ95="1",BH95,0),2)</f>
        <v>0</v>
      </c>
      <c r="AC95" s="38">
        <f>ROUND(IF(AQ95="1",BI95,0),2)</f>
        <v>0</v>
      </c>
      <c r="AD95" s="38">
        <f>ROUND(IF(AQ95="7",BH95,0),2)</f>
        <v>0</v>
      </c>
      <c r="AE95" s="38">
        <f>ROUND(IF(AQ95="7",BI95,0),2)</f>
        <v>0</v>
      </c>
      <c r="AF95" s="38">
        <f>ROUND(IF(AQ95="2",BH95,0),2)</f>
        <v>0</v>
      </c>
      <c r="AG95" s="38">
        <f>ROUND(IF(AQ95="2",BI95,0),2)</f>
        <v>0</v>
      </c>
      <c r="AH95" s="38">
        <f>ROUND(IF(AQ95="0",BJ95,0),2)</f>
        <v>0</v>
      </c>
      <c r="AI95" s="29" t="s">
        <v>299</v>
      </c>
      <c r="AJ95" s="38">
        <f>IF(AN95=0,J95,0)</f>
        <v>0</v>
      </c>
      <c r="AK95" s="38">
        <f>IF(AN95=12,J95,0)</f>
        <v>0</v>
      </c>
      <c r="AL95" s="38">
        <f>IF(AN95=21,J95,0)</f>
        <v>0</v>
      </c>
      <c r="AN95" s="38">
        <v>0</v>
      </c>
      <c r="AO95" s="38">
        <f>G95*0.354634146</f>
        <v>0</v>
      </c>
      <c r="AP95" s="38">
        <f>G95*(1-0.354634146)</f>
        <v>0</v>
      </c>
      <c r="AQ95" s="41" t="s">
        <v>61</v>
      </c>
      <c r="AV95" s="38">
        <f>ROUND(AW95+AX95,2)</f>
        <v>0</v>
      </c>
      <c r="AW95" s="38">
        <f>ROUND(F95*AO95,2)</f>
        <v>0</v>
      </c>
      <c r="AX95" s="38">
        <f>ROUND(F95*AP95,2)</f>
        <v>0</v>
      </c>
      <c r="AY95" s="41" t="s">
        <v>310</v>
      </c>
      <c r="AZ95" s="41" t="s">
        <v>311</v>
      </c>
      <c r="BA95" s="29" t="s">
        <v>304</v>
      </c>
      <c r="BC95" s="38">
        <f>AW95+AX95</f>
        <v>0</v>
      </c>
      <c r="BD95" s="38">
        <f>G95/(100-BE95)*100</f>
        <v>0</v>
      </c>
      <c r="BE95" s="38">
        <v>0</v>
      </c>
      <c r="BF95" s="38">
        <f>95</f>
        <v>95</v>
      </c>
      <c r="BH95" s="38">
        <f>F95*AO95</f>
        <v>0</v>
      </c>
      <c r="BI95" s="38">
        <f>F95*AP95</f>
        <v>0</v>
      </c>
      <c r="BJ95" s="38">
        <f>F95*G95</f>
        <v>0</v>
      </c>
      <c r="BK95" s="41" t="s">
        <v>65</v>
      </c>
      <c r="BL95" s="38">
        <v>733</v>
      </c>
      <c r="BW95" s="38">
        <v>0</v>
      </c>
      <c r="BX95" s="26" t="s">
        <v>317</v>
      </c>
    </row>
    <row r="96" spans="1:76" ht="14.4" x14ac:dyDescent="0.3">
      <c r="A96" s="17" t="s">
        <v>318</v>
      </c>
      <c r="B96" s="18" t="s">
        <v>319</v>
      </c>
      <c r="C96" s="61" t="s">
        <v>320</v>
      </c>
      <c r="D96" s="58"/>
      <c r="E96" s="18" t="s">
        <v>112</v>
      </c>
      <c r="F96" s="38">
        <v>7.2276999999999996</v>
      </c>
      <c r="G96" s="39">
        <v>0</v>
      </c>
      <c r="H96" s="38">
        <f>ROUND(F96*AO96,2)</f>
        <v>0</v>
      </c>
      <c r="I96" s="38">
        <f>ROUND(F96*AP96,2)</f>
        <v>0</v>
      </c>
      <c r="J96" s="38">
        <f>ROUND(F96*G96,2)</f>
        <v>0</v>
      </c>
      <c r="K96" s="40" t="s">
        <v>60</v>
      </c>
      <c r="Z96" s="38">
        <f>ROUND(IF(AQ96="5",BJ96,0),2)</f>
        <v>0</v>
      </c>
      <c r="AB96" s="38">
        <f>ROUND(IF(AQ96="1",BH96,0),2)</f>
        <v>0</v>
      </c>
      <c r="AC96" s="38">
        <f>ROUND(IF(AQ96="1",BI96,0),2)</f>
        <v>0</v>
      </c>
      <c r="AD96" s="38">
        <f>ROUND(IF(AQ96="7",BH96,0),2)</f>
        <v>0</v>
      </c>
      <c r="AE96" s="38">
        <f>ROUND(IF(AQ96="7",BI96,0),2)</f>
        <v>0</v>
      </c>
      <c r="AF96" s="38">
        <f>ROUND(IF(AQ96="2",BH96,0),2)</f>
        <v>0</v>
      </c>
      <c r="AG96" s="38">
        <f>ROUND(IF(AQ96="2",BI96,0),2)</f>
        <v>0</v>
      </c>
      <c r="AH96" s="38">
        <f>ROUND(IF(AQ96="0",BJ96,0),2)</f>
        <v>0</v>
      </c>
      <c r="AI96" s="29" t="s">
        <v>299</v>
      </c>
      <c r="AJ96" s="38">
        <f>IF(AN96=0,J96,0)</f>
        <v>0</v>
      </c>
      <c r="AK96" s="38">
        <f>IF(AN96=12,J96,0)</f>
        <v>0</v>
      </c>
      <c r="AL96" s="38">
        <f>IF(AN96=21,J96,0)</f>
        <v>0</v>
      </c>
      <c r="AN96" s="38">
        <v>0</v>
      </c>
      <c r="AO96" s="38">
        <f>G96*0</f>
        <v>0</v>
      </c>
      <c r="AP96" s="38">
        <f>G96*(1-0)</f>
        <v>0</v>
      </c>
      <c r="AQ96" s="41" t="s">
        <v>76</v>
      </c>
      <c r="AV96" s="38">
        <f>ROUND(AW96+AX96,2)</f>
        <v>0</v>
      </c>
      <c r="AW96" s="38">
        <f>ROUND(F96*AO96,2)</f>
        <v>0</v>
      </c>
      <c r="AX96" s="38">
        <f>ROUND(F96*AP96,2)</f>
        <v>0</v>
      </c>
      <c r="AY96" s="41" t="s">
        <v>310</v>
      </c>
      <c r="AZ96" s="41" t="s">
        <v>311</v>
      </c>
      <c r="BA96" s="29" t="s">
        <v>304</v>
      </c>
      <c r="BC96" s="38">
        <f>AW96+AX96</f>
        <v>0</v>
      </c>
      <c r="BD96" s="38">
        <f>G96/(100-BE96)*100</f>
        <v>0</v>
      </c>
      <c r="BE96" s="38">
        <v>0</v>
      </c>
      <c r="BF96" s="38">
        <f>96</f>
        <v>96</v>
      </c>
      <c r="BH96" s="38">
        <f>F96*AO96</f>
        <v>0</v>
      </c>
      <c r="BI96" s="38">
        <f>F96*AP96</f>
        <v>0</v>
      </c>
      <c r="BJ96" s="38">
        <f>F96*G96</f>
        <v>0</v>
      </c>
      <c r="BK96" s="41" t="s">
        <v>65</v>
      </c>
      <c r="BL96" s="38">
        <v>733</v>
      </c>
      <c r="BW96" s="38">
        <v>0</v>
      </c>
      <c r="BX96" s="26" t="s">
        <v>320</v>
      </c>
    </row>
    <row r="97" spans="1:76" ht="14.4" x14ac:dyDescent="0.3">
      <c r="A97" s="17" t="s">
        <v>321</v>
      </c>
      <c r="B97" s="18" t="s">
        <v>322</v>
      </c>
      <c r="C97" s="61" t="s">
        <v>323</v>
      </c>
      <c r="D97" s="58"/>
      <c r="E97" s="18" t="s">
        <v>112</v>
      </c>
      <c r="F97" s="38">
        <v>7.2276999999999996</v>
      </c>
      <c r="G97" s="39">
        <v>0</v>
      </c>
      <c r="H97" s="38">
        <f>ROUND(F97*AO97,2)</f>
        <v>0</v>
      </c>
      <c r="I97" s="38">
        <f>ROUND(F97*AP97,2)</f>
        <v>0</v>
      </c>
      <c r="J97" s="38">
        <f>ROUND(F97*G97,2)</f>
        <v>0</v>
      </c>
      <c r="K97" s="40" t="s">
        <v>324</v>
      </c>
      <c r="Z97" s="38">
        <f>ROUND(IF(AQ97="5",BJ97,0),2)</f>
        <v>0</v>
      </c>
      <c r="AB97" s="38">
        <f>ROUND(IF(AQ97="1",BH97,0),2)</f>
        <v>0</v>
      </c>
      <c r="AC97" s="38">
        <f>ROUND(IF(AQ97="1",BI97,0),2)</f>
        <v>0</v>
      </c>
      <c r="AD97" s="38">
        <f>ROUND(IF(AQ97="7",BH97,0),2)</f>
        <v>0</v>
      </c>
      <c r="AE97" s="38">
        <f>ROUND(IF(AQ97="7",BI97,0),2)</f>
        <v>0</v>
      </c>
      <c r="AF97" s="38">
        <f>ROUND(IF(AQ97="2",BH97,0),2)</f>
        <v>0</v>
      </c>
      <c r="AG97" s="38">
        <f>ROUND(IF(AQ97="2",BI97,0),2)</f>
        <v>0</v>
      </c>
      <c r="AH97" s="38">
        <f>ROUND(IF(AQ97="0",BJ97,0),2)</f>
        <v>0</v>
      </c>
      <c r="AI97" s="29" t="s">
        <v>299</v>
      </c>
      <c r="AJ97" s="38">
        <f>IF(AN97=0,J97,0)</f>
        <v>0</v>
      </c>
      <c r="AK97" s="38">
        <f>IF(AN97=12,J97,0)</f>
        <v>0</v>
      </c>
      <c r="AL97" s="38">
        <f>IF(AN97=21,J97,0)</f>
        <v>0</v>
      </c>
      <c r="AN97" s="38">
        <v>0</v>
      </c>
      <c r="AO97" s="38">
        <f>G97*0</f>
        <v>0</v>
      </c>
      <c r="AP97" s="38">
        <f>G97*(1-0)</f>
        <v>0</v>
      </c>
      <c r="AQ97" s="41" t="s">
        <v>76</v>
      </c>
      <c r="AV97" s="38">
        <f>ROUND(AW97+AX97,2)</f>
        <v>0</v>
      </c>
      <c r="AW97" s="38">
        <f>ROUND(F97*AO97,2)</f>
        <v>0</v>
      </c>
      <c r="AX97" s="38">
        <f>ROUND(F97*AP97,2)</f>
        <v>0</v>
      </c>
      <c r="AY97" s="41" t="s">
        <v>310</v>
      </c>
      <c r="AZ97" s="41" t="s">
        <v>311</v>
      </c>
      <c r="BA97" s="29" t="s">
        <v>304</v>
      </c>
      <c r="BC97" s="38">
        <f>AW97+AX97</f>
        <v>0</v>
      </c>
      <c r="BD97" s="38">
        <f>G97/(100-BE97)*100</f>
        <v>0</v>
      </c>
      <c r="BE97" s="38">
        <v>0</v>
      </c>
      <c r="BF97" s="38">
        <f>97</f>
        <v>97</v>
      </c>
      <c r="BH97" s="38">
        <f>F97*AO97</f>
        <v>0</v>
      </c>
      <c r="BI97" s="38">
        <f>F97*AP97</f>
        <v>0</v>
      </c>
      <c r="BJ97" s="38">
        <f>F97*G97</f>
        <v>0</v>
      </c>
      <c r="BK97" s="41" t="s">
        <v>65</v>
      </c>
      <c r="BL97" s="38">
        <v>733</v>
      </c>
      <c r="BW97" s="38">
        <v>0</v>
      </c>
      <c r="BX97" s="26" t="s">
        <v>323</v>
      </c>
    </row>
    <row r="98" spans="1:76" ht="14.4" x14ac:dyDescent="0.3">
      <c r="A98" s="34" t="s">
        <v>51</v>
      </c>
      <c r="B98" s="35" t="s">
        <v>243</v>
      </c>
      <c r="C98" s="78" t="s">
        <v>244</v>
      </c>
      <c r="D98" s="79"/>
      <c r="E98" s="36" t="s">
        <v>4</v>
      </c>
      <c r="F98" s="36" t="s">
        <v>4</v>
      </c>
      <c r="G98" s="25" t="s">
        <v>4</v>
      </c>
      <c r="H98" s="24">
        <f>SUM(H99:H103)</f>
        <v>0</v>
      </c>
      <c r="I98" s="24">
        <f>SUM(I99:I103)</f>
        <v>0</v>
      </c>
      <c r="J98" s="24">
        <f>SUM(J99:J103)</f>
        <v>0</v>
      </c>
      <c r="K98" s="37" t="s">
        <v>51</v>
      </c>
      <c r="AI98" s="29" t="s">
        <v>299</v>
      </c>
      <c r="AS98" s="24">
        <f>SUM(AJ99:AJ103)</f>
        <v>0</v>
      </c>
      <c r="AT98" s="24">
        <f>SUM(AK99:AK103)</f>
        <v>0</v>
      </c>
      <c r="AU98" s="24">
        <f>SUM(AL99:AL103)</f>
        <v>0</v>
      </c>
    </row>
    <row r="99" spans="1:76" ht="14.4" x14ac:dyDescent="0.3">
      <c r="A99" s="17" t="s">
        <v>325</v>
      </c>
      <c r="B99" s="18" t="s">
        <v>326</v>
      </c>
      <c r="C99" s="61" t="s">
        <v>327</v>
      </c>
      <c r="D99" s="58"/>
      <c r="E99" s="18" t="s">
        <v>126</v>
      </c>
      <c r="F99" s="38">
        <v>55</v>
      </c>
      <c r="G99" s="39">
        <v>0</v>
      </c>
      <c r="H99" s="38">
        <f>ROUND(F99*AO99,2)</f>
        <v>0</v>
      </c>
      <c r="I99" s="38">
        <f>ROUND(F99*AP99,2)</f>
        <v>0</v>
      </c>
      <c r="J99" s="38">
        <f>ROUND(F99*G99,2)</f>
        <v>0</v>
      </c>
      <c r="K99" s="40" t="s">
        <v>60</v>
      </c>
      <c r="Z99" s="38">
        <f>ROUND(IF(AQ99="5",BJ99,0),2)</f>
        <v>0</v>
      </c>
      <c r="AB99" s="38">
        <f>ROUND(IF(AQ99="1",BH99,0),2)</f>
        <v>0</v>
      </c>
      <c r="AC99" s="38">
        <f>ROUND(IF(AQ99="1",BI99,0),2)</f>
        <v>0</v>
      </c>
      <c r="AD99" s="38">
        <f>ROUND(IF(AQ99="7",BH99,0),2)</f>
        <v>0</v>
      </c>
      <c r="AE99" s="38">
        <f>ROUND(IF(AQ99="7",BI99,0),2)</f>
        <v>0</v>
      </c>
      <c r="AF99" s="38">
        <f>ROUND(IF(AQ99="2",BH99,0),2)</f>
        <v>0</v>
      </c>
      <c r="AG99" s="38">
        <f>ROUND(IF(AQ99="2",BI99,0),2)</f>
        <v>0</v>
      </c>
      <c r="AH99" s="38">
        <f>ROUND(IF(AQ99="0",BJ99,0),2)</f>
        <v>0</v>
      </c>
      <c r="AI99" s="29" t="s">
        <v>299</v>
      </c>
      <c r="AJ99" s="38">
        <f>IF(AN99=0,J99,0)</f>
        <v>0</v>
      </c>
      <c r="AK99" s="38">
        <f>IF(AN99=12,J99,0)</f>
        <v>0</v>
      </c>
      <c r="AL99" s="38">
        <f>IF(AN99=21,J99,0)</f>
        <v>0</v>
      </c>
      <c r="AN99" s="38">
        <v>0</v>
      </c>
      <c r="AO99" s="38">
        <f>G99*0.23375</f>
        <v>0</v>
      </c>
      <c r="AP99" s="38">
        <f>G99*(1-0.23375)</f>
        <v>0</v>
      </c>
      <c r="AQ99" s="41" t="s">
        <v>61</v>
      </c>
      <c r="AV99" s="38">
        <f>ROUND(AW99+AX99,2)</f>
        <v>0</v>
      </c>
      <c r="AW99" s="38">
        <f>ROUND(F99*AO99,2)</f>
        <v>0</v>
      </c>
      <c r="AX99" s="38">
        <f>ROUND(F99*AP99,2)</f>
        <v>0</v>
      </c>
      <c r="AY99" s="41" t="s">
        <v>248</v>
      </c>
      <c r="AZ99" s="41" t="s">
        <v>311</v>
      </c>
      <c r="BA99" s="29" t="s">
        <v>304</v>
      </c>
      <c r="BC99" s="38">
        <f>AW99+AX99</f>
        <v>0</v>
      </c>
      <c r="BD99" s="38">
        <f>G99/(100-BE99)*100</f>
        <v>0</v>
      </c>
      <c r="BE99" s="38">
        <v>0</v>
      </c>
      <c r="BF99" s="38">
        <f>99</f>
        <v>99</v>
      </c>
      <c r="BH99" s="38">
        <f>F99*AO99</f>
        <v>0</v>
      </c>
      <c r="BI99" s="38">
        <f>F99*AP99</f>
        <v>0</v>
      </c>
      <c r="BJ99" s="38">
        <f>F99*G99</f>
        <v>0</v>
      </c>
      <c r="BK99" s="41" t="s">
        <v>65</v>
      </c>
      <c r="BL99" s="38">
        <v>734</v>
      </c>
      <c r="BW99" s="38">
        <v>0</v>
      </c>
      <c r="BX99" s="26" t="s">
        <v>327</v>
      </c>
    </row>
    <row r="100" spans="1:76" ht="14.4" x14ac:dyDescent="0.3">
      <c r="A100" s="17" t="s">
        <v>328</v>
      </c>
      <c r="B100" s="18" t="s">
        <v>329</v>
      </c>
      <c r="C100" s="61" t="s">
        <v>330</v>
      </c>
      <c r="D100" s="58"/>
      <c r="E100" s="18" t="s">
        <v>126</v>
      </c>
      <c r="F100" s="38">
        <v>42</v>
      </c>
      <c r="G100" s="39">
        <v>0</v>
      </c>
      <c r="H100" s="38">
        <f>ROUND(F100*AO100,2)</f>
        <v>0</v>
      </c>
      <c r="I100" s="38">
        <f>ROUND(F100*AP100,2)</f>
        <v>0</v>
      </c>
      <c r="J100" s="38">
        <f>ROUND(F100*G100,2)</f>
        <v>0</v>
      </c>
      <c r="K100" s="40" t="s">
        <v>60</v>
      </c>
      <c r="Z100" s="38">
        <f>ROUND(IF(AQ100="5",BJ100,0),2)</f>
        <v>0</v>
      </c>
      <c r="AB100" s="38">
        <f>ROUND(IF(AQ100="1",BH100,0),2)</f>
        <v>0</v>
      </c>
      <c r="AC100" s="38">
        <f>ROUND(IF(AQ100="1",BI100,0),2)</f>
        <v>0</v>
      </c>
      <c r="AD100" s="38">
        <f>ROUND(IF(AQ100="7",BH100,0),2)</f>
        <v>0</v>
      </c>
      <c r="AE100" s="38">
        <f>ROUND(IF(AQ100="7",BI100,0),2)</f>
        <v>0</v>
      </c>
      <c r="AF100" s="38">
        <f>ROUND(IF(AQ100="2",BH100,0),2)</f>
        <v>0</v>
      </c>
      <c r="AG100" s="38">
        <f>ROUND(IF(AQ100="2",BI100,0),2)</f>
        <v>0</v>
      </c>
      <c r="AH100" s="38">
        <f>ROUND(IF(AQ100="0",BJ100,0),2)</f>
        <v>0</v>
      </c>
      <c r="AI100" s="29" t="s">
        <v>299</v>
      </c>
      <c r="AJ100" s="38">
        <f>IF(AN100=0,J100,0)</f>
        <v>0</v>
      </c>
      <c r="AK100" s="38">
        <f>IF(AN100=12,J100,0)</f>
        <v>0</v>
      </c>
      <c r="AL100" s="38">
        <f>IF(AN100=21,J100,0)</f>
        <v>0</v>
      </c>
      <c r="AN100" s="38">
        <v>0</v>
      </c>
      <c r="AO100" s="38">
        <f>G100*0.232376396</f>
        <v>0</v>
      </c>
      <c r="AP100" s="38">
        <f>G100*(1-0.232376396)</f>
        <v>0</v>
      </c>
      <c r="AQ100" s="41" t="s">
        <v>61</v>
      </c>
      <c r="AV100" s="38">
        <f>ROUND(AW100+AX100,2)</f>
        <v>0</v>
      </c>
      <c r="AW100" s="38">
        <f>ROUND(F100*AO100,2)</f>
        <v>0</v>
      </c>
      <c r="AX100" s="38">
        <f>ROUND(F100*AP100,2)</f>
        <v>0</v>
      </c>
      <c r="AY100" s="41" t="s">
        <v>248</v>
      </c>
      <c r="AZ100" s="41" t="s">
        <v>311</v>
      </c>
      <c r="BA100" s="29" t="s">
        <v>304</v>
      </c>
      <c r="BC100" s="38">
        <f>AW100+AX100</f>
        <v>0</v>
      </c>
      <c r="BD100" s="38">
        <f>G100/(100-BE100)*100</f>
        <v>0</v>
      </c>
      <c r="BE100" s="38">
        <v>0</v>
      </c>
      <c r="BF100" s="38">
        <f>100</f>
        <v>100</v>
      </c>
      <c r="BH100" s="38">
        <f>F100*AO100</f>
        <v>0</v>
      </c>
      <c r="BI100" s="38">
        <f>F100*AP100</f>
        <v>0</v>
      </c>
      <c r="BJ100" s="38">
        <f>F100*G100</f>
        <v>0</v>
      </c>
      <c r="BK100" s="41" t="s">
        <v>65</v>
      </c>
      <c r="BL100" s="38">
        <v>734</v>
      </c>
      <c r="BW100" s="38">
        <v>0</v>
      </c>
      <c r="BX100" s="26" t="s">
        <v>330</v>
      </c>
    </row>
    <row r="101" spans="1:76" ht="14.4" x14ac:dyDescent="0.3">
      <c r="A101" s="17" t="s">
        <v>331</v>
      </c>
      <c r="B101" s="18" t="s">
        <v>332</v>
      </c>
      <c r="C101" s="61" t="s">
        <v>333</v>
      </c>
      <c r="D101" s="58"/>
      <c r="E101" s="18" t="s">
        <v>126</v>
      </c>
      <c r="F101" s="38">
        <v>7</v>
      </c>
      <c r="G101" s="39">
        <v>0</v>
      </c>
      <c r="H101" s="38">
        <f>ROUND(F101*AO101,2)</f>
        <v>0</v>
      </c>
      <c r="I101" s="38">
        <f>ROUND(F101*AP101,2)</f>
        <v>0</v>
      </c>
      <c r="J101" s="38">
        <f>ROUND(F101*G101,2)</f>
        <v>0</v>
      </c>
      <c r="K101" s="40" t="s">
        <v>324</v>
      </c>
      <c r="Z101" s="38">
        <f>ROUND(IF(AQ101="5",BJ101,0),2)</f>
        <v>0</v>
      </c>
      <c r="AB101" s="38">
        <f>ROUND(IF(AQ101="1",BH101,0),2)</f>
        <v>0</v>
      </c>
      <c r="AC101" s="38">
        <f>ROUND(IF(AQ101="1",BI101,0),2)</f>
        <v>0</v>
      </c>
      <c r="AD101" s="38">
        <f>ROUND(IF(AQ101="7",BH101,0),2)</f>
        <v>0</v>
      </c>
      <c r="AE101" s="38">
        <f>ROUND(IF(AQ101="7",BI101,0),2)</f>
        <v>0</v>
      </c>
      <c r="AF101" s="38">
        <f>ROUND(IF(AQ101="2",BH101,0),2)</f>
        <v>0</v>
      </c>
      <c r="AG101" s="38">
        <f>ROUND(IF(AQ101="2",BI101,0),2)</f>
        <v>0</v>
      </c>
      <c r="AH101" s="38">
        <f>ROUND(IF(AQ101="0",BJ101,0),2)</f>
        <v>0</v>
      </c>
      <c r="AI101" s="29" t="s">
        <v>299</v>
      </c>
      <c r="AJ101" s="38">
        <f>IF(AN101=0,J101,0)</f>
        <v>0</v>
      </c>
      <c r="AK101" s="38">
        <f>IF(AN101=12,J101,0)</f>
        <v>0</v>
      </c>
      <c r="AL101" s="38">
        <f>IF(AN101=21,J101,0)</f>
        <v>0</v>
      </c>
      <c r="AN101" s="38">
        <v>0</v>
      </c>
      <c r="AO101" s="38">
        <f>G101*0.005333191</f>
        <v>0</v>
      </c>
      <c r="AP101" s="38">
        <f>G101*(1-0.005333191)</f>
        <v>0</v>
      </c>
      <c r="AQ101" s="41" t="s">
        <v>61</v>
      </c>
      <c r="AV101" s="38">
        <f>ROUND(AW101+AX101,2)</f>
        <v>0</v>
      </c>
      <c r="AW101" s="38">
        <f>ROUND(F101*AO101,2)</f>
        <v>0</v>
      </c>
      <c r="AX101" s="38">
        <f>ROUND(F101*AP101,2)</f>
        <v>0</v>
      </c>
      <c r="AY101" s="41" t="s">
        <v>248</v>
      </c>
      <c r="AZ101" s="41" t="s">
        <v>311</v>
      </c>
      <c r="BA101" s="29" t="s">
        <v>304</v>
      </c>
      <c r="BC101" s="38">
        <f>AW101+AX101</f>
        <v>0</v>
      </c>
      <c r="BD101" s="38">
        <f>G101/(100-BE101)*100</f>
        <v>0</v>
      </c>
      <c r="BE101" s="38">
        <v>0</v>
      </c>
      <c r="BF101" s="38">
        <f>101</f>
        <v>101</v>
      </c>
      <c r="BH101" s="38">
        <f>F101*AO101</f>
        <v>0</v>
      </c>
      <c r="BI101" s="38">
        <f>F101*AP101</f>
        <v>0</v>
      </c>
      <c r="BJ101" s="38">
        <f>F101*G101</f>
        <v>0</v>
      </c>
      <c r="BK101" s="41" t="s">
        <v>65</v>
      </c>
      <c r="BL101" s="38">
        <v>734</v>
      </c>
      <c r="BW101" s="38">
        <v>0</v>
      </c>
      <c r="BX101" s="26" t="s">
        <v>333</v>
      </c>
    </row>
    <row r="102" spans="1:76" ht="14.4" x14ac:dyDescent="0.3">
      <c r="A102" s="17" t="s">
        <v>334</v>
      </c>
      <c r="B102" s="18" t="s">
        <v>335</v>
      </c>
      <c r="C102" s="61" t="s">
        <v>336</v>
      </c>
      <c r="D102" s="58"/>
      <c r="E102" s="18" t="s">
        <v>112</v>
      </c>
      <c r="F102" s="38">
        <v>6.0667799999999996</v>
      </c>
      <c r="G102" s="39">
        <v>0</v>
      </c>
      <c r="H102" s="38">
        <f>ROUND(F102*AO102,2)</f>
        <v>0</v>
      </c>
      <c r="I102" s="38">
        <f>ROUND(F102*AP102,2)</f>
        <v>0</v>
      </c>
      <c r="J102" s="38">
        <f>ROUND(F102*G102,2)</f>
        <v>0</v>
      </c>
      <c r="K102" s="40" t="s">
        <v>60</v>
      </c>
      <c r="Z102" s="38">
        <f>ROUND(IF(AQ102="5",BJ102,0),2)</f>
        <v>0</v>
      </c>
      <c r="AB102" s="38">
        <f>ROUND(IF(AQ102="1",BH102,0),2)</f>
        <v>0</v>
      </c>
      <c r="AC102" s="38">
        <f>ROUND(IF(AQ102="1",BI102,0),2)</f>
        <v>0</v>
      </c>
      <c r="AD102" s="38">
        <f>ROUND(IF(AQ102="7",BH102,0),2)</f>
        <v>0</v>
      </c>
      <c r="AE102" s="38">
        <f>ROUND(IF(AQ102="7",BI102,0),2)</f>
        <v>0</v>
      </c>
      <c r="AF102" s="38">
        <f>ROUND(IF(AQ102="2",BH102,0),2)</f>
        <v>0</v>
      </c>
      <c r="AG102" s="38">
        <f>ROUND(IF(AQ102="2",BI102,0),2)</f>
        <v>0</v>
      </c>
      <c r="AH102" s="38">
        <f>ROUND(IF(AQ102="0",BJ102,0),2)</f>
        <v>0</v>
      </c>
      <c r="AI102" s="29" t="s">
        <v>299</v>
      </c>
      <c r="AJ102" s="38">
        <f>IF(AN102=0,J102,0)</f>
        <v>0</v>
      </c>
      <c r="AK102" s="38">
        <f>IF(AN102=12,J102,0)</f>
        <v>0</v>
      </c>
      <c r="AL102" s="38">
        <f>IF(AN102=21,J102,0)</f>
        <v>0</v>
      </c>
      <c r="AN102" s="38">
        <v>0</v>
      </c>
      <c r="AO102" s="38">
        <f>G102*0</f>
        <v>0</v>
      </c>
      <c r="AP102" s="38">
        <f>G102*(1-0)</f>
        <v>0</v>
      </c>
      <c r="AQ102" s="41" t="s">
        <v>76</v>
      </c>
      <c r="AV102" s="38">
        <f>ROUND(AW102+AX102,2)</f>
        <v>0</v>
      </c>
      <c r="AW102" s="38">
        <f>ROUND(F102*AO102,2)</f>
        <v>0</v>
      </c>
      <c r="AX102" s="38">
        <f>ROUND(F102*AP102,2)</f>
        <v>0</v>
      </c>
      <c r="AY102" s="41" t="s">
        <v>248</v>
      </c>
      <c r="AZ102" s="41" t="s">
        <v>311</v>
      </c>
      <c r="BA102" s="29" t="s">
        <v>304</v>
      </c>
      <c r="BC102" s="38">
        <f>AW102+AX102</f>
        <v>0</v>
      </c>
      <c r="BD102" s="38">
        <f>G102/(100-BE102)*100</f>
        <v>0</v>
      </c>
      <c r="BE102" s="38">
        <v>0</v>
      </c>
      <c r="BF102" s="38">
        <f>102</f>
        <v>102</v>
      </c>
      <c r="BH102" s="38">
        <f>F102*AO102</f>
        <v>0</v>
      </c>
      <c r="BI102" s="38">
        <f>F102*AP102</f>
        <v>0</v>
      </c>
      <c r="BJ102" s="38">
        <f>F102*G102</f>
        <v>0</v>
      </c>
      <c r="BK102" s="41" t="s">
        <v>65</v>
      </c>
      <c r="BL102" s="38">
        <v>734</v>
      </c>
      <c r="BW102" s="38">
        <v>0</v>
      </c>
      <c r="BX102" s="26" t="s">
        <v>336</v>
      </c>
    </row>
    <row r="103" spans="1:76" ht="14.4" x14ac:dyDescent="0.3">
      <c r="A103" s="17" t="s">
        <v>337</v>
      </c>
      <c r="B103" s="18" t="s">
        <v>338</v>
      </c>
      <c r="C103" s="61" t="s">
        <v>339</v>
      </c>
      <c r="D103" s="58"/>
      <c r="E103" s="18" t="s">
        <v>112</v>
      </c>
      <c r="F103" s="38">
        <v>6.0667799999999996</v>
      </c>
      <c r="G103" s="39">
        <v>0</v>
      </c>
      <c r="H103" s="38">
        <f>ROUND(F103*AO103,2)</f>
        <v>0</v>
      </c>
      <c r="I103" s="38">
        <f>ROUND(F103*AP103,2)</f>
        <v>0</v>
      </c>
      <c r="J103" s="38">
        <f>ROUND(F103*G103,2)</f>
        <v>0</v>
      </c>
      <c r="K103" s="40" t="s">
        <v>324</v>
      </c>
      <c r="Z103" s="38">
        <f>ROUND(IF(AQ103="5",BJ103,0),2)</f>
        <v>0</v>
      </c>
      <c r="AB103" s="38">
        <f>ROUND(IF(AQ103="1",BH103,0),2)</f>
        <v>0</v>
      </c>
      <c r="AC103" s="38">
        <f>ROUND(IF(AQ103="1",BI103,0),2)</f>
        <v>0</v>
      </c>
      <c r="AD103" s="38">
        <f>ROUND(IF(AQ103="7",BH103,0),2)</f>
        <v>0</v>
      </c>
      <c r="AE103" s="38">
        <f>ROUND(IF(AQ103="7",BI103,0),2)</f>
        <v>0</v>
      </c>
      <c r="AF103" s="38">
        <f>ROUND(IF(AQ103="2",BH103,0),2)</f>
        <v>0</v>
      </c>
      <c r="AG103" s="38">
        <f>ROUND(IF(AQ103="2",BI103,0),2)</f>
        <v>0</v>
      </c>
      <c r="AH103" s="38">
        <f>ROUND(IF(AQ103="0",BJ103,0),2)</f>
        <v>0</v>
      </c>
      <c r="AI103" s="29" t="s">
        <v>299</v>
      </c>
      <c r="AJ103" s="38">
        <f>IF(AN103=0,J103,0)</f>
        <v>0</v>
      </c>
      <c r="AK103" s="38">
        <f>IF(AN103=12,J103,0)</f>
        <v>0</v>
      </c>
      <c r="AL103" s="38">
        <f>IF(AN103=21,J103,0)</f>
        <v>0</v>
      </c>
      <c r="AN103" s="38">
        <v>0</v>
      </c>
      <c r="AO103" s="38">
        <f>G103*0</f>
        <v>0</v>
      </c>
      <c r="AP103" s="38">
        <f>G103*(1-0)</f>
        <v>0</v>
      </c>
      <c r="AQ103" s="41" t="s">
        <v>76</v>
      </c>
      <c r="AV103" s="38">
        <f>ROUND(AW103+AX103,2)</f>
        <v>0</v>
      </c>
      <c r="AW103" s="38">
        <f>ROUND(F103*AO103,2)</f>
        <v>0</v>
      </c>
      <c r="AX103" s="38">
        <f>ROUND(F103*AP103,2)</f>
        <v>0</v>
      </c>
      <c r="AY103" s="41" t="s">
        <v>248</v>
      </c>
      <c r="AZ103" s="41" t="s">
        <v>311</v>
      </c>
      <c r="BA103" s="29" t="s">
        <v>304</v>
      </c>
      <c r="BC103" s="38">
        <f>AW103+AX103</f>
        <v>0</v>
      </c>
      <c r="BD103" s="38">
        <f>G103/(100-BE103)*100</f>
        <v>0</v>
      </c>
      <c r="BE103" s="38">
        <v>0</v>
      </c>
      <c r="BF103" s="38">
        <f>103</f>
        <v>103</v>
      </c>
      <c r="BH103" s="38">
        <f>F103*AO103</f>
        <v>0</v>
      </c>
      <c r="BI103" s="38">
        <f>F103*AP103</f>
        <v>0</v>
      </c>
      <c r="BJ103" s="38">
        <f>F103*G103</f>
        <v>0</v>
      </c>
      <c r="BK103" s="41" t="s">
        <v>65</v>
      </c>
      <c r="BL103" s="38">
        <v>734</v>
      </c>
      <c r="BW103" s="38">
        <v>0</v>
      </c>
      <c r="BX103" s="26" t="s">
        <v>339</v>
      </c>
    </row>
    <row r="104" spans="1:76" ht="14.4" x14ac:dyDescent="0.3">
      <c r="A104" s="34" t="s">
        <v>51</v>
      </c>
      <c r="B104" s="35" t="s">
        <v>340</v>
      </c>
      <c r="C104" s="78" t="s">
        <v>341</v>
      </c>
      <c r="D104" s="79"/>
      <c r="E104" s="36" t="s">
        <v>4</v>
      </c>
      <c r="F104" s="36" t="s">
        <v>4</v>
      </c>
      <c r="G104" s="25" t="s">
        <v>4</v>
      </c>
      <c r="H104" s="24">
        <f>SUM(H105:H105)</f>
        <v>0</v>
      </c>
      <c r="I104" s="24">
        <f>SUM(I105:I105)</f>
        <v>0</v>
      </c>
      <c r="J104" s="24">
        <f>SUM(J105:J105)</f>
        <v>0</v>
      </c>
      <c r="K104" s="37" t="s">
        <v>51</v>
      </c>
      <c r="AI104" s="29" t="s">
        <v>299</v>
      </c>
      <c r="AS104" s="24">
        <f>SUM(AJ105:AJ105)</f>
        <v>0</v>
      </c>
      <c r="AT104" s="24">
        <f>SUM(AK105:AK105)</f>
        <v>0</v>
      </c>
      <c r="AU104" s="24">
        <f>SUM(AL105:AL105)</f>
        <v>0</v>
      </c>
    </row>
    <row r="105" spans="1:76" ht="14.4" x14ac:dyDescent="0.3">
      <c r="A105" s="17" t="s">
        <v>342</v>
      </c>
      <c r="B105" s="18" t="s">
        <v>343</v>
      </c>
      <c r="C105" s="61" t="s">
        <v>344</v>
      </c>
      <c r="D105" s="58"/>
      <c r="E105" s="18" t="s">
        <v>59</v>
      </c>
      <c r="F105" s="38">
        <v>650</v>
      </c>
      <c r="G105" s="39">
        <v>0</v>
      </c>
      <c r="H105" s="38">
        <f>ROUND(F105*AO105,2)</f>
        <v>0</v>
      </c>
      <c r="I105" s="38">
        <f>ROUND(F105*AP105,2)</f>
        <v>0</v>
      </c>
      <c r="J105" s="38">
        <f>ROUND(F105*G105,2)</f>
        <v>0</v>
      </c>
      <c r="K105" s="40" t="s">
        <v>60</v>
      </c>
      <c r="Z105" s="38">
        <f>ROUND(IF(AQ105="5",BJ105,0),2)</f>
        <v>0</v>
      </c>
      <c r="AB105" s="38">
        <f>ROUND(IF(AQ105="1",BH105,0),2)</f>
        <v>0</v>
      </c>
      <c r="AC105" s="38">
        <f>ROUND(IF(AQ105="1",BI105,0),2)</f>
        <v>0</v>
      </c>
      <c r="AD105" s="38">
        <f>ROUND(IF(AQ105="7",BH105,0),2)</f>
        <v>0</v>
      </c>
      <c r="AE105" s="38">
        <f>ROUND(IF(AQ105="7",BI105,0),2)</f>
        <v>0</v>
      </c>
      <c r="AF105" s="38">
        <f>ROUND(IF(AQ105="2",BH105,0),2)</f>
        <v>0</v>
      </c>
      <c r="AG105" s="38">
        <f>ROUND(IF(AQ105="2",BI105,0),2)</f>
        <v>0</v>
      </c>
      <c r="AH105" s="38">
        <f>ROUND(IF(AQ105="0",BJ105,0),2)</f>
        <v>0</v>
      </c>
      <c r="AI105" s="29" t="s">
        <v>299</v>
      </c>
      <c r="AJ105" s="38">
        <f>IF(AN105=0,J105,0)</f>
        <v>0</v>
      </c>
      <c r="AK105" s="38">
        <f>IF(AN105=12,J105,0)</f>
        <v>0</v>
      </c>
      <c r="AL105" s="38">
        <f>IF(AN105=21,J105,0)</f>
        <v>0</v>
      </c>
      <c r="AN105" s="38">
        <v>0</v>
      </c>
      <c r="AO105" s="38">
        <f>G105*0</f>
        <v>0</v>
      </c>
      <c r="AP105" s="38">
        <f>G105*(1-0)</f>
        <v>0</v>
      </c>
      <c r="AQ105" s="41" t="s">
        <v>56</v>
      </c>
      <c r="AV105" s="38">
        <f>ROUND(AW105+AX105,2)</f>
        <v>0</v>
      </c>
      <c r="AW105" s="38">
        <f>ROUND(F105*AO105,2)</f>
        <v>0</v>
      </c>
      <c r="AX105" s="38">
        <f>ROUND(F105*AP105,2)</f>
        <v>0</v>
      </c>
      <c r="AY105" s="41" t="s">
        <v>345</v>
      </c>
      <c r="AZ105" s="41" t="s">
        <v>346</v>
      </c>
      <c r="BA105" s="29" t="s">
        <v>304</v>
      </c>
      <c r="BC105" s="38">
        <f>AW105+AX105</f>
        <v>0</v>
      </c>
      <c r="BD105" s="38">
        <f>G105/(100-BE105)*100</f>
        <v>0</v>
      </c>
      <c r="BE105" s="38">
        <v>0</v>
      </c>
      <c r="BF105" s="38">
        <f>105</f>
        <v>105</v>
      </c>
      <c r="BH105" s="38">
        <f>F105*AO105</f>
        <v>0</v>
      </c>
      <c r="BI105" s="38">
        <f>F105*AP105</f>
        <v>0</v>
      </c>
      <c r="BJ105" s="38">
        <f>F105*G105</f>
        <v>0</v>
      </c>
      <c r="BK105" s="41" t="s">
        <v>65</v>
      </c>
      <c r="BL105" s="38">
        <v>95</v>
      </c>
      <c r="BW105" s="38">
        <v>0</v>
      </c>
      <c r="BX105" s="26" t="s">
        <v>344</v>
      </c>
    </row>
    <row r="106" spans="1:76" ht="14.4" x14ac:dyDescent="0.3">
      <c r="A106" s="34" t="s">
        <v>51</v>
      </c>
      <c r="B106" s="35" t="s">
        <v>347</v>
      </c>
      <c r="C106" s="78" t="s">
        <v>348</v>
      </c>
      <c r="D106" s="79"/>
      <c r="E106" s="36" t="s">
        <v>4</v>
      </c>
      <c r="F106" s="36" t="s">
        <v>4</v>
      </c>
      <c r="G106" s="25" t="s">
        <v>4</v>
      </c>
      <c r="H106" s="24">
        <f>SUM(H107:H112)</f>
        <v>0</v>
      </c>
      <c r="I106" s="24">
        <f>SUM(I107:I112)</f>
        <v>0</v>
      </c>
      <c r="J106" s="24">
        <f>SUM(J107:J112)</f>
        <v>0</v>
      </c>
      <c r="K106" s="37" t="s">
        <v>51</v>
      </c>
      <c r="AI106" s="29" t="s">
        <v>299</v>
      </c>
      <c r="AS106" s="24">
        <f>SUM(AJ107:AJ112)</f>
        <v>0</v>
      </c>
      <c r="AT106" s="24">
        <f>SUM(AK107:AK112)</f>
        <v>0</v>
      </c>
      <c r="AU106" s="24">
        <f>SUM(AL107:AL112)</f>
        <v>0</v>
      </c>
    </row>
    <row r="107" spans="1:76" ht="14.4" x14ac:dyDescent="0.3">
      <c r="A107" s="17" t="s">
        <v>349</v>
      </c>
      <c r="B107" s="18" t="s">
        <v>350</v>
      </c>
      <c r="C107" s="61" t="s">
        <v>351</v>
      </c>
      <c r="D107" s="58"/>
      <c r="E107" s="18" t="s">
        <v>69</v>
      </c>
      <c r="F107" s="38">
        <v>2</v>
      </c>
      <c r="G107" s="39">
        <v>0</v>
      </c>
      <c r="H107" s="38">
        <f t="shared" ref="H107:H112" si="90">ROUND(F107*AO107,2)</f>
        <v>0</v>
      </c>
      <c r="I107" s="38">
        <f t="shared" ref="I107:I112" si="91">ROUND(F107*AP107,2)</f>
        <v>0</v>
      </c>
      <c r="J107" s="38">
        <f t="shared" ref="J107:J112" si="92">ROUND(F107*G107,2)</f>
        <v>0</v>
      </c>
      <c r="K107" s="40" t="s">
        <v>60</v>
      </c>
      <c r="Z107" s="38">
        <f t="shared" ref="Z107:Z112" si="93">ROUND(IF(AQ107="5",BJ107,0),2)</f>
        <v>0</v>
      </c>
      <c r="AB107" s="38">
        <f t="shared" ref="AB107:AB112" si="94">ROUND(IF(AQ107="1",BH107,0),2)</f>
        <v>0</v>
      </c>
      <c r="AC107" s="38">
        <f t="shared" ref="AC107:AC112" si="95">ROUND(IF(AQ107="1",BI107,0),2)</f>
        <v>0</v>
      </c>
      <c r="AD107" s="38">
        <f t="shared" ref="AD107:AD112" si="96">ROUND(IF(AQ107="7",BH107,0),2)</f>
        <v>0</v>
      </c>
      <c r="AE107" s="38">
        <f t="shared" ref="AE107:AE112" si="97">ROUND(IF(AQ107="7",BI107,0),2)</f>
        <v>0</v>
      </c>
      <c r="AF107" s="38">
        <f t="shared" ref="AF107:AF112" si="98">ROUND(IF(AQ107="2",BH107,0),2)</f>
        <v>0</v>
      </c>
      <c r="AG107" s="38">
        <f t="shared" ref="AG107:AG112" si="99">ROUND(IF(AQ107="2",BI107,0),2)</f>
        <v>0</v>
      </c>
      <c r="AH107" s="38">
        <f t="shared" ref="AH107:AH112" si="100">ROUND(IF(AQ107="0",BJ107,0),2)</f>
        <v>0</v>
      </c>
      <c r="AI107" s="29" t="s">
        <v>299</v>
      </c>
      <c r="AJ107" s="38">
        <f t="shared" ref="AJ107:AJ112" si="101">IF(AN107=0,J107,0)</f>
        <v>0</v>
      </c>
      <c r="AK107" s="38">
        <f t="shared" ref="AK107:AK112" si="102">IF(AN107=12,J107,0)</f>
        <v>0</v>
      </c>
      <c r="AL107" s="38">
        <f t="shared" ref="AL107:AL112" si="103">IF(AN107=21,J107,0)</f>
        <v>0</v>
      </c>
      <c r="AN107" s="38">
        <v>0</v>
      </c>
      <c r="AO107" s="38">
        <f>G107*0.328968343</f>
        <v>0</v>
      </c>
      <c r="AP107" s="38">
        <f>G107*(1-0.328968343)</f>
        <v>0</v>
      </c>
      <c r="AQ107" s="41" t="s">
        <v>56</v>
      </c>
      <c r="AV107" s="38">
        <f t="shared" ref="AV107:AV112" si="104">ROUND(AW107+AX107,2)</f>
        <v>0</v>
      </c>
      <c r="AW107" s="38">
        <f t="shared" ref="AW107:AW112" si="105">ROUND(F107*AO107,2)</f>
        <v>0</v>
      </c>
      <c r="AX107" s="38">
        <f t="shared" ref="AX107:AX112" si="106">ROUND(F107*AP107,2)</f>
        <v>0</v>
      </c>
      <c r="AY107" s="41" t="s">
        <v>352</v>
      </c>
      <c r="AZ107" s="41" t="s">
        <v>346</v>
      </c>
      <c r="BA107" s="29" t="s">
        <v>304</v>
      </c>
      <c r="BC107" s="38">
        <f t="shared" ref="BC107:BC112" si="107">AW107+AX107</f>
        <v>0</v>
      </c>
      <c r="BD107" s="38">
        <f t="shared" ref="BD107:BD112" si="108">G107/(100-BE107)*100</f>
        <v>0</v>
      </c>
      <c r="BE107" s="38">
        <v>0</v>
      </c>
      <c r="BF107" s="38">
        <f>107</f>
        <v>107</v>
      </c>
      <c r="BH107" s="38">
        <f t="shared" ref="BH107:BH112" si="109">F107*AO107</f>
        <v>0</v>
      </c>
      <c r="BI107" s="38">
        <f t="shared" ref="BI107:BI112" si="110">F107*AP107</f>
        <v>0</v>
      </c>
      <c r="BJ107" s="38">
        <f t="shared" ref="BJ107:BJ112" si="111">F107*G107</f>
        <v>0</v>
      </c>
      <c r="BK107" s="41" t="s">
        <v>65</v>
      </c>
      <c r="BL107" s="38">
        <v>97</v>
      </c>
      <c r="BW107" s="38">
        <v>0</v>
      </c>
      <c r="BX107" s="26" t="s">
        <v>351</v>
      </c>
    </row>
    <row r="108" spans="1:76" ht="14.4" x14ac:dyDescent="0.3">
      <c r="A108" s="17" t="s">
        <v>353</v>
      </c>
      <c r="B108" s="18" t="s">
        <v>354</v>
      </c>
      <c r="C108" s="61" t="s">
        <v>355</v>
      </c>
      <c r="D108" s="58"/>
      <c r="E108" s="18" t="s">
        <v>69</v>
      </c>
      <c r="F108" s="38">
        <v>2</v>
      </c>
      <c r="G108" s="39">
        <v>0</v>
      </c>
      <c r="H108" s="38">
        <f t="shared" si="90"/>
        <v>0</v>
      </c>
      <c r="I108" s="38">
        <f t="shared" si="91"/>
        <v>0</v>
      </c>
      <c r="J108" s="38">
        <f t="shared" si="92"/>
        <v>0</v>
      </c>
      <c r="K108" s="40" t="s">
        <v>60</v>
      </c>
      <c r="Z108" s="38">
        <f t="shared" si="93"/>
        <v>0</v>
      </c>
      <c r="AB108" s="38">
        <f t="shared" si="94"/>
        <v>0</v>
      </c>
      <c r="AC108" s="38">
        <f t="shared" si="95"/>
        <v>0</v>
      </c>
      <c r="AD108" s="38">
        <f t="shared" si="96"/>
        <v>0</v>
      </c>
      <c r="AE108" s="38">
        <f t="shared" si="97"/>
        <v>0</v>
      </c>
      <c r="AF108" s="38">
        <f t="shared" si="98"/>
        <v>0</v>
      </c>
      <c r="AG108" s="38">
        <f t="shared" si="99"/>
        <v>0</v>
      </c>
      <c r="AH108" s="38">
        <f t="shared" si="100"/>
        <v>0</v>
      </c>
      <c r="AI108" s="29" t="s">
        <v>299</v>
      </c>
      <c r="AJ108" s="38">
        <f t="shared" si="101"/>
        <v>0</v>
      </c>
      <c r="AK108" s="38">
        <f t="shared" si="102"/>
        <v>0</v>
      </c>
      <c r="AL108" s="38">
        <f t="shared" si="103"/>
        <v>0</v>
      </c>
      <c r="AN108" s="38">
        <v>0</v>
      </c>
      <c r="AO108" s="38">
        <f>G108*0.236481802</f>
        <v>0</v>
      </c>
      <c r="AP108" s="38">
        <f>G108*(1-0.236481802)</f>
        <v>0</v>
      </c>
      <c r="AQ108" s="41" t="s">
        <v>56</v>
      </c>
      <c r="AV108" s="38">
        <f t="shared" si="104"/>
        <v>0</v>
      </c>
      <c r="AW108" s="38">
        <f t="shared" si="105"/>
        <v>0</v>
      </c>
      <c r="AX108" s="38">
        <f t="shared" si="106"/>
        <v>0</v>
      </c>
      <c r="AY108" s="41" t="s">
        <v>352</v>
      </c>
      <c r="AZ108" s="41" t="s">
        <v>346</v>
      </c>
      <c r="BA108" s="29" t="s">
        <v>304</v>
      </c>
      <c r="BC108" s="38">
        <f t="shared" si="107"/>
        <v>0</v>
      </c>
      <c r="BD108" s="38">
        <f t="shared" si="108"/>
        <v>0</v>
      </c>
      <c r="BE108" s="38">
        <v>0</v>
      </c>
      <c r="BF108" s="38">
        <f>108</f>
        <v>108</v>
      </c>
      <c r="BH108" s="38">
        <f t="shared" si="109"/>
        <v>0</v>
      </c>
      <c r="BI108" s="38">
        <f t="shared" si="110"/>
        <v>0</v>
      </c>
      <c r="BJ108" s="38">
        <f t="shared" si="111"/>
        <v>0</v>
      </c>
      <c r="BK108" s="41" t="s">
        <v>65</v>
      </c>
      <c r="BL108" s="38">
        <v>97</v>
      </c>
      <c r="BW108" s="38">
        <v>0</v>
      </c>
      <c r="BX108" s="26" t="s">
        <v>355</v>
      </c>
    </row>
    <row r="109" spans="1:76" ht="14.4" x14ac:dyDescent="0.3">
      <c r="A109" s="17" t="s">
        <v>356</v>
      </c>
      <c r="B109" s="18" t="s">
        <v>357</v>
      </c>
      <c r="C109" s="61" t="s">
        <v>358</v>
      </c>
      <c r="D109" s="58"/>
      <c r="E109" s="18" t="s">
        <v>69</v>
      </c>
      <c r="F109" s="38">
        <v>2</v>
      </c>
      <c r="G109" s="39">
        <v>0</v>
      </c>
      <c r="H109" s="38">
        <f t="shared" si="90"/>
        <v>0</v>
      </c>
      <c r="I109" s="38">
        <f t="shared" si="91"/>
        <v>0</v>
      </c>
      <c r="J109" s="38">
        <f t="shared" si="92"/>
        <v>0</v>
      </c>
      <c r="K109" s="40" t="s">
        <v>60</v>
      </c>
      <c r="Z109" s="38">
        <f t="shared" si="93"/>
        <v>0</v>
      </c>
      <c r="AB109" s="38">
        <f t="shared" si="94"/>
        <v>0</v>
      </c>
      <c r="AC109" s="38">
        <f t="shared" si="95"/>
        <v>0</v>
      </c>
      <c r="AD109" s="38">
        <f t="shared" si="96"/>
        <v>0</v>
      </c>
      <c r="AE109" s="38">
        <f t="shared" si="97"/>
        <v>0</v>
      </c>
      <c r="AF109" s="38">
        <f t="shared" si="98"/>
        <v>0</v>
      </c>
      <c r="AG109" s="38">
        <f t="shared" si="99"/>
        <v>0</v>
      </c>
      <c r="AH109" s="38">
        <f t="shared" si="100"/>
        <v>0</v>
      </c>
      <c r="AI109" s="29" t="s">
        <v>299</v>
      </c>
      <c r="AJ109" s="38">
        <f t="shared" si="101"/>
        <v>0</v>
      </c>
      <c r="AK109" s="38">
        <f t="shared" si="102"/>
        <v>0</v>
      </c>
      <c r="AL109" s="38">
        <f t="shared" si="103"/>
        <v>0</v>
      </c>
      <c r="AN109" s="38">
        <v>0</v>
      </c>
      <c r="AO109" s="38">
        <f>G109*0.281013889</f>
        <v>0</v>
      </c>
      <c r="AP109" s="38">
        <f>G109*(1-0.281013889)</f>
        <v>0</v>
      </c>
      <c r="AQ109" s="41" t="s">
        <v>56</v>
      </c>
      <c r="AV109" s="38">
        <f t="shared" si="104"/>
        <v>0</v>
      </c>
      <c r="AW109" s="38">
        <f t="shared" si="105"/>
        <v>0</v>
      </c>
      <c r="AX109" s="38">
        <f t="shared" si="106"/>
        <v>0</v>
      </c>
      <c r="AY109" s="41" t="s">
        <v>352</v>
      </c>
      <c r="AZ109" s="41" t="s">
        <v>346</v>
      </c>
      <c r="BA109" s="29" t="s">
        <v>304</v>
      </c>
      <c r="BC109" s="38">
        <f t="shared" si="107"/>
        <v>0</v>
      </c>
      <c r="BD109" s="38">
        <f t="shared" si="108"/>
        <v>0</v>
      </c>
      <c r="BE109" s="38">
        <v>0</v>
      </c>
      <c r="BF109" s="38">
        <f>109</f>
        <v>109</v>
      </c>
      <c r="BH109" s="38">
        <f t="shared" si="109"/>
        <v>0</v>
      </c>
      <c r="BI109" s="38">
        <f t="shared" si="110"/>
        <v>0</v>
      </c>
      <c r="BJ109" s="38">
        <f t="shared" si="111"/>
        <v>0</v>
      </c>
      <c r="BK109" s="41" t="s">
        <v>65</v>
      </c>
      <c r="BL109" s="38">
        <v>97</v>
      </c>
      <c r="BW109" s="38">
        <v>0</v>
      </c>
      <c r="BX109" s="26" t="s">
        <v>358</v>
      </c>
    </row>
    <row r="110" spans="1:76" ht="14.4" x14ac:dyDescent="0.3">
      <c r="A110" s="17" t="s">
        <v>359</v>
      </c>
      <c r="B110" s="18" t="s">
        <v>360</v>
      </c>
      <c r="C110" s="61" t="s">
        <v>361</v>
      </c>
      <c r="D110" s="58"/>
      <c r="E110" s="18" t="s">
        <v>69</v>
      </c>
      <c r="F110" s="38">
        <v>2</v>
      </c>
      <c r="G110" s="39">
        <v>0</v>
      </c>
      <c r="H110" s="38">
        <f t="shared" si="90"/>
        <v>0</v>
      </c>
      <c r="I110" s="38">
        <f t="shared" si="91"/>
        <v>0</v>
      </c>
      <c r="J110" s="38">
        <f t="shared" si="92"/>
        <v>0</v>
      </c>
      <c r="K110" s="40" t="s">
        <v>60</v>
      </c>
      <c r="Z110" s="38">
        <f t="shared" si="93"/>
        <v>0</v>
      </c>
      <c r="AB110" s="38">
        <f t="shared" si="94"/>
        <v>0</v>
      </c>
      <c r="AC110" s="38">
        <f t="shared" si="95"/>
        <v>0</v>
      </c>
      <c r="AD110" s="38">
        <f t="shared" si="96"/>
        <v>0</v>
      </c>
      <c r="AE110" s="38">
        <f t="shared" si="97"/>
        <v>0</v>
      </c>
      <c r="AF110" s="38">
        <f t="shared" si="98"/>
        <v>0</v>
      </c>
      <c r="AG110" s="38">
        <f t="shared" si="99"/>
        <v>0</v>
      </c>
      <c r="AH110" s="38">
        <f t="shared" si="100"/>
        <v>0</v>
      </c>
      <c r="AI110" s="29" t="s">
        <v>299</v>
      </c>
      <c r="AJ110" s="38">
        <f t="shared" si="101"/>
        <v>0</v>
      </c>
      <c r="AK110" s="38">
        <f t="shared" si="102"/>
        <v>0</v>
      </c>
      <c r="AL110" s="38">
        <f t="shared" si="103"/>
        <v>0</v>
      </c>
      <c r="AN110" s="38">
        <v>0</v>
      </c>
      <c r="AO110" s="38">
        <f>G110*0.179303548</f>
        <v>0</v>
      </c>
      <c r="AP110" s="38">
        <f>G110*(1-0.179303548)</f>
        <v>0</v>
      </c>
      <c r="AQ110" s="41" t="s">
        <v>56</v>
      </c>
      <c r="AV110" s="38">
        <f t="shared" si="104"/>
        <v>0</v>
      </c>
      <c r="AW110" s="38">
        <f t="shared" si="105"/>
        <v>0</v>
      </c>
      <c r="AX110" s="38">
        <f t="shared" si="106"/>
        <v>0</v>
      </c>
      <c r="AY110" s="41" t="s">
        <v>352</v>
      </c>
      <c r="AZ110" s="41" t="s">
        <v>346</v>
      </c>
      <c r="BA110" s="29" t="s">
        <v>304</v>
      </c>
      <c r="BC110" s="38">
        <f t="shared" si="107"/>
        <v>0</v>
      </c>
      <c r="BD110" s="38">
        <f t="shared" si="108"/>
        <v>0</v>
      </c>
      <c r="BE110" s="38">
        <v>0</v>
      </c>
      <c r="BF110" s="38">
        <f>110</f>
        <v>110</v>
      </c>
      <c r="BH110" s="38">
        <f t="shared" si="109"/>
        <v>0</v>
      </c>
      <c r="BI110" s="38">
        <f t="shared" si="110"/>
        <v>0</v>
      </c>
      <c r="BJ110" s="38">
        <f t="shared" si="111"/>
        <v>0</v>
      </c>
      <c r="BK110" s="41" t="s">
        <v>65</v>
      </c>
      <c r="BL110" s="38">
        <v>97</v>
      </c>
      <c r="BW110" s="38">
        <v>0</v>
      </c>
      <c r="BX110" s="26" t="s">
        <v>361</v>
      </c>
    </row>
    <row r="111" spans="1:76" ht="14.4" x14ac:dyDescent="0.3">
      <c r="A111" s="17" t="s">
        <v>362</v>
      </c>
      <c r="B111" s="18" t="s">
        <v>363</v>
      </c>
      <c r="C111" s="61" t="s">
        <v>364</v>
      </c>
      <c r="D111" s="58"/>
      <c r="E111" s="18" t="s">
        <v>69</v>
      </c>
      <c r="F111" s="38">
        <v>3</v>
      </c>
      <c r="G111" s="39">
        <v>0</v>
      </c>
      <c r="H111" s="38">
        <f t="shared" si="90"/>
        <v>0</v>
      </c>
      <c r="I111" s="38">
        <f t="shared" si="91"/>
        <v>0</v>
      </c>
      <c r="J111" s="38">
        <f t="shared" si="92"/>
        <v>0</v>
      </c>
      <c r="K111" s="40" t="s">
        <v>60</v>
      </c>
      <c r="Z111" s="38">
        <f t="shared" si="93"/>
        <v>0</v>
      </c>
      <c r="AB111" s="38">
        <f t="shared" si="94"/>
        <v>0</v>
      </c>
      <c r="AC111" s="38">
        <f t="shared" si="95"/>
        <v>0</v>
      </c>
      <c r="AD111" s="38">
        <f t="shared" si="96"/>
        <v>0</v>
      </c>
      <c r="AE111" s="38">
        <f t="shared" si="97"/>
        <v>0</v>
      </c>
      <c r="AF111" s="38">
        <f t="shared" si="98"/>
        <v>0</v>
      </c>
      <c r="AG111" s="38">
        <f t="shared" si="99"/>
        <v>0</v>
      </c>
      <c r="AH111" s="38">
        <f t="shared" si="100"/>
        <v>0</v>
      </c>
      <c r="AI111" s="29" t="s">
        <v>299</v>
      </c>
      <c r="AJ111" s="38">
        <f t="shared" si="101"/>
        <v>0</v>
      </c>
      <c r="AK111" s="38">
        <f t="shared" si="102"/>
        <v>0</v>
      </c>
      <c r="AL111" s="38">
        <f t="shared" si="103"/>
        <v>0</v>
      </c>
      <c r="AN111" s="38">
        <v>0</v>
      </c>
      <c r="AO111" s="38">
        <f>G111*0.291572282</f>
        <v>0</v>
      </c>
      <c r="AP111" s="38">
        <f>G111*(1-0.291572282)</f>
        <v>0</v>
      </c>
      <c r="AQ111" s="41" t="s">
        <v>56</v>
      </c>
      <c r="AV111" s="38">
        <f t="shared" si="104"/>
        <v>0</v>
      </c>
      <c r="AW111" s="38">
        <f t="shared" si="105"/>
        <v>0</v>
      </c>
      <c r="AX111" s="38">
        <f t="shared" si="106"/>
        <v>0</v>
      </c>
      <c r="AY111" s="41" t="s">
        <v>352</v>
      </c>
      <c r="AZ111" s="41" t="s">
        <v>346</v>
      </c>
      <c r="BA111" s="29" t="s">
        <v>304</v>
      </c>
      <c r="BC111" s="38">
        <f t="shared" si="107"/>
        <v>0</v>
      </c>
      <c r="BD111" s="38">
        <f t="shared" si="108"/>
        <v>0</v>
      </c>
      <c r="BE111" s="38">
        <v>0</v>
      </c>
      <c r="BF111" s="38">
        <f>111</f>
        <v>111</v>
      </c>
      <c r="BH111" s="38">
        <f t="shared" si="109"/>
        <v>0</v>
      </c>
      <c r="BI111" s="38">
        <f t="shared" si="110"/>
        <v>0</v>
      </c>
      <c r="BJ111" s="38">
        <f t="shared" si="111"/>
        <v>0</v>
      </c>
      <c r="BK111" s="41" t="s">
        <v>65</v>
      </c>
      <c r="BL111" s="38">
        <v>97</v>
      </c>
      <c r="BW111" s="38">
        <v>0</v>
      </c>
      <c r="BX111" s="26" t="s">
        <v>364</v>
      </c>
    </row>
    <row r="112" spans="1:76" ht="14.4" x14ac:dyDescent="0.3">
      <c r="A112" s="17" t="s">
        <v>365</v>
      </c>
      <c r="B112" s="18" t="s">
        <v>366</v>
      </c>
      <c r="C112" s="61" t="s">
        <v>367</v>
      </c>
      <c r="D112" s="58"/>
      <c r="E112" s="18" t="s">
        <v>69</v>
      </c>
      <c r="F112" s="38">
        <v>3</v>
      </c>
      <c r="G112" s="39">
        <v>0</v>
      </c>
      <c r="H112" s="38">
        <f t="shared" si="90"/>
        <v>0</v>
      </c>
      <c r="I112" s="38">
        <f t="shared" si="91"/>
        <v>0</v>
      </c>
      <c r="J112" s="38">
        <f t="shared" si="92"/>
        <v>0</v>
      </c>
      <c r="K112" s="40" t="s">
        <v>60</v>
      </c>
      <c r="Z112" s="38">
        <f t="shared" si="93"/>
        <v>0</v>
      </c>
      <c r="AB112" s="38">
        <f t="shared" si="94"/>
        <v>0</v>
      </c>
      <c r="AC112" s="38">
        <f t="shared" si="95"/>
        <v>0</v>
      </c>
      <c r="AD112" s="38">
        <f t="shared" si="96"/>
        <v>0</v>
      </c>
      <c r="AE112" s="38">
        <f t="shared" si="97"/>
        <v>0</v>
      </c>
      <c r="AF112" s="38">
        <f t="shared" si="98"/>
        <v>0</v>
      </c>
      <c r="AG112" s="38">
        <f t="shared" si="99"/>
        <v>0</v>
      </c>
      <c r="AH112" s="38">
        <f t="shared" si="100"/>
        <v>0</v>
      </c>
      <c r="AI112" s="29" t="s">
        <v>299</v>
      </c>
      <c r="AJ112" s="38">
        <f t="shared" si="101"/>
        <v>0</v>
      </c>
      <c r="AK112" s="38">
        <f t="shared" si="102"/>
        <v>0</v>
      </c>
      <c r="AL112" s="38">
        <f t="shared" si="103"/>
        <v>0</v>
      </c>
      <c r="AN112" s="38">
        <v>0</v>
      </c>
      <c r="AO112" s="38">
        <f>G112*0.150439356</f>
        <v>0</v>
      </c>
      <c r="AP112" s="38">
        <f>G112*(1-0.150439356)</f>
        <v>0</v>
      </c>
      <c r="AQ112" s="41" t="s">
        <v>56</v>
      </c>
      <c r="AV112" s="38">
        <f t="shared" si="104"/>
        <v>0</v>
      </c>
      <c r="AW112" s="38">
        <f t="shared" si="105"/>
        <v>0</v>
      </c>
      <c r="AX112" s="38">
        <f t="shared" si="106"/>
        <v>0</v>
      </c>
      <c r="AY112" s="41" t="s">
        <v>352</v>
      </c>
      <c r="AZ112" s="41" t="s">
        <v>346</v>
      </c>
      <c r="BA112" s="29" t="s">
        <v>304</v>
      </c>
      <c r="BC112" s="38">
        <f t="shared" si="107"/>
        <v>0</v>
      </c>
      <c r="BD112" s="38">
        <f t="shared" si="108"/>
        <v>0</v>
      </c>
      <c r="BE112" s="38">
        <v>0</v>
      </c>
      <c r="BF112" s="38">
        <f>112</f>
        <v>112</v>
      </c>
      <c r="BH112" s="38">
        <f t="shared" si="109"/>
        <v>0</v>
      </c>
      <c r="BI112" s="38">
        <f t="shared" si="110"/>
        <v>0</v>
      </c>
      <c r="BJ112" s="38">
        <f t="shared" si="111"/>
        <v>0</v>
      </c>
      <c r="BK112" s="41" t="s">
        <v>65</v>
      </c>
      <c r="BL112" s="38">
        <v>97</v>
      </c>
      <c r="BW112" s="38">
        <v>0</v>
      </c>
      <c r="BX112" s="26" t="s">
        <v>367</v>
      </c>
    </row>
    <row r="113" spans="1:76" ht="14.4" x14ac:dyDescent="0.3">
      <c r="A113" s="34" t="s">
        <v>51</v>
      </c>
      <c r="B113" s="35" t="s">
        <v>368</v>
      </c>
      <c r="C113" s="78" t="s">
        <v>369</v>
      </c>
      <c r="D113" s="79"/>
      <c r="E113" s="36" t="s">
        <v>4</v>
      </c>
      <c r="F113" s="36" t="s">
        <v>4</v>
      </c>
      <c r="G113" s="25" t="s">
        <v>4</v>
      </c>
      <c r="H113" s="24">
        <f>SUM(H114:H118)</f>
        <v>0</v>
      </c>
      <c r="I113" s="24">
        <f>SUM(I114:I118)</f>
        <v>0</v>
      </c>
      <c r="J113" s="24">
        <f>SUM(J114:J118)</f>
        <v>0</v>
      </c>
      <c r="K113" s="37" t="s">
        <v>51</v>
      </c>
      <c r="AI113" s="29" t="s">
        <v>299</v>
      </c>
      <c r="AS113" s="24">
        <f>SUM(AJ114:AJ118)</f>
        <v>0</v>
      </c>
      <c r="AT113" s="24">
        <f>SUM(AK114:AK118)</f>
        <v>0</v>
      </c>
      <c r="AU113" s="24">
        <f>SUM(AL114:AL118)</f>
        <v>0</v>
      </c>
    </row>
    <row r="114" spans="1:76" ht="14.4" x14ac:dyDescent="0.3">
      <c r="A114" s="17" t="s">
        <v>370</v>
      </c>
      <c r="B114" s="18" t="s">
        <v>371</v>
      </c>
      <c r="C114" s="61" t="s">
        <v>372</v>
      </c>
      <c r="D114" s="58"/>
      <c r="E114" s="18" t="s">
        <v>112</v>
      </c>
      <c r="F114" s="38">
        <v>8.8827700000000007</v>
      </c>
      <c r="G114" s="39">
        <v>0</v>
      </c>
      <c r="H114" s="38">
        <f>ROUND(F114*AO114,2)</f>
        <v>0</v>
      </c>
      <c r="I114" s="38">
        <f>ROUND(F114*AP114,2)</f>
        <v>0</v>
      </c>
      <c r="J114" s="38">
        <f>ROUND(F114*G114,2)</f>
        <v>0</v>
      </c>
      <c r="K114" s="40" t="s">
        <v>60</v>
      </c>
      <c r="Z114" s="38">
        <f>ROUND(IF(AQ114="5",BJ114,0),2)</f>
        <v>0</v>
      </c>
      <c r="AB114" s="38">
        <f>ROUND(IF(AQ114="1",BH114,0),2)</f>
        <v>0</v>
      </c>
      <c r="AC114" s="38">
        <f>ROUND(IF(AQ114="1",BI114,0),2)</f>
        <v>0</v>
      </c>
      <c r="AD114" s="38">
        <f>ROUND(IF(AQ114="7",BH114,0),2)</f>
        <v>0</v>
      </c>
      <c r="AE114" s="38">
        <f>ROUND(IF(AQ114="7",BI114,0),2)</f>
        <v>0</v>
      </c>
      <c r="AF114" s="38">
        <f>ROUND(IF(AQ114="2",BH114,0),2)</f>
        <v>0</v>
      </c>
      <c r="AG114" s="38">
        <f>ROUND(IF(AQ114="2",BI114,0),2)</f>
        <v>0</v>
      </c>
      <c r="AH114" s="38">
        <f>ROUND(IF(AQ114="0",BJ114,0),2)</f>
        <v>0</v>
      </c>
      <c r="AI114" s="29" t="s">
        <v>299</v>
      </c>
      <c r="AJ114" s="38">
        <f>IF(AN114=0,J114,0)</f>
        <v>0</v>
      </c>
      <c r="AK114" s="38">
        <f>IF(AN114=12,J114,0)</f>
        <v>0</v>
      </c>
      <c r="AL114" s="38">
        <f>IF(AN114=21,J114,0)</f>
        <v>0</v>
      </c>
      <c r="AN114" s="38">
        <v>0</v>
      </c>
      <c r="AO114" s="38">
        <f>G114*0</f>
        <v>0</v>
      </c>
      <c r="AP114" s="38">
        <f>G114*(1-0)</f>
        <v>0</v>
      </c>
      <c r="AQ114" s="41" t="s">
        <v>76</v>
      </c>
      <c r="AV114" s="38">
        <f>ROUND(AW114+AX114,2)</f>
        <v>0</v>
      </c>
      <c r="AW114" s="38">
        <f>ROUND(F114*AO114,2)</f>
        <v>0</v>
      </c>
      <c r="AX114" s="38">
        <f>ROUND(F114*AP114,2)</f>
        <v>0</v>
      </c>
      <c r="AY114" s="41" t="s">
        <v>373</v>
      </c>
      <c r="AZ114" s="41" t="s">
        <v>346</v>
      </c>
      <c r="BA114" s="29" t="s">
        <v>304</v>
      </c>
      <c r="BC114" s="38">
        <f>AW114+AX114</f>
        <v>0</v>
      </c>
      <c r="BD114" s="38">
        <f>G114/(100-BE114)*100</f>
        <v>0</v>
      </c>
      <c r="BE114" s="38">
        <v>0</v>
      </c>
      <c r="BF114" s="38">
        <f>114</f>
        <v>114</v>
      </c>
      <c r="BH114" s="38">
        <f>F114*AO114</f>
        <v>0</v>
      </c>
      <c r="BI114" s="38">
        <f>F114*AP114</f>
        <v>0</v>
      </c>
      <c r="BJ114" s="38">
        <f>F114*G114</f>
        <v>0</v>
      </c>
      <c r="BK114" s="41" t="s">
        <v>65</v>
      </c>
      <c r="BL114" s="38"/>
      <c r="BW114" s="38">
        <v>0</v>
      </c>
      <c r="BX114" s="26" t="s">
        <v>372</v>
      </c>
    </row>
    <row r="115" spans="1:76" ht="14.4" x14ac:dyDescent="0.3">
      <c r="A115" s="17" t="s">
        <v>374</v>
      </c>
      <c r="B115" s="18" t="s">
        <v>375</v>
      </c>
      <c r="C115" s="61" t="s">
        <v>376</v>
      </c>
      <c r="D115" s="58"/>
      <c r="E115" s="18" t="s">
        <v>112</v>
      </c>
      <c r="F115" s="38">
        <v>8.8827700000000007</v>
      </c>
      <c r="G115" s="39">
        <v>0</v>
      </c>
      <c r="H115" s="38">
        <f>ROUND(F115*AO115,2)</f>
        <v>0</v>
      </c>
      <c r="I115" s="38">
        <f>ROUND(F115*AP115,2)</f>
        <v>0</v>
      </c>
      <c r="J115" s="38">
        <f>ROUND(F115*G115,2)</f>
        <v>0</v>
      </c>
      <c r="K115" s="40" t="s">
        <v>60</v>
      </c>
      <c r="Z115" s="38">
        <f>ROUND(IF(AQ115="5",BJ115,0),2)</f>
        <v>0</v>
      </c>
      <c r="AB115" s="38">
        <f>ROUND(IF(AQ115="1",BH115,0),2)</f>
        <v>0</v>
      </c>
      <c r="AC115" s="38">
        <f>ROUND(IF(AQ115="1",BI115,0),2)</f>
        <v>0</v>
      </c>
      <c r="AD115" s="38">
        <f>ROUND(IF(AQ115="7",BH115,0),2)</f>
        <v>0</v>
      </c>
      <c r="AE115" s="38">
        <f>ROUND(IF(AQ115="7",BI115,0),2)</f>
        <v>0</v>
      </c>
      <c r="AF115" s="38">
        <f>ROUND(IF(AQ115="2",BH115,0),2)</f>
        <v>0</v>
      </c>
      <c r="AG115" s="38">
        <f>ROUND(IF(AQ115="2",BI115,0),2)</f>
        <v>0</v>
      </c>
      <c r="AH115" s="38">
        <f>ROUND(IF(AQ115="0",BJ115,0),2)</f>
        <v>0</v>
      </c>
      <c r="AI115" s="29" t="s">
        <v>299</v>
      </c>
      <c r="AJ115" s="38">
        <f>IF(AN115=0,J115,0)</f>
        <v>0</v>
      </c>
      <c r="AK115" s="38">
        <f>IF(AN115=12,J115,0)</f>
        <v>0</v>
      </c>
      <c r="AL115" s="38">
        <f>IF(AN115=21,J115,0)</f>
        <v>0</v>
      </c>
      <c r="AN115" s="38">
        <v>0</v>
      </c>
      <c r="AO115" s="38">
        <f>G115*0.010622138</f>
        <v>0</v>
      </c>
      <c r="AP115" s="38">
        <f>G115*(1-0.010622138)</f>
        <v>0</v>
      </c>
      <c r="AQ115" s="41" t="s">
        <v>76</v>
      </c>
      <c r="AV115" s="38">
        <f>ROUND(AW115+AX115,2)</f>
        <v>0</v>
      </c>
      <c r="AW115" s="38">
        <f>ROUND(F115*AO115,2)</f>
        <v>0</v>
      </c>
      <c r="AX115" s="38">
        <f>ROUND(F115*AP115,2)</f>
        <v>0</v>
      </c>
      <c r="AY115" s="41" t="s">
        <v>373</v>
      </c>
      <c r="AZ115" s="41" t="s">
        <v>346</v>
      </c>
      <c r="BA115" s="29" t="s">
        <v>304</v>
      </c>
      <c r="BC115" s="38">
        <f>AW115+AX115</f>
        <v>0</v>
      </c>
      <c r="BD115" s="38">
        <f>G115/(100-BE115)*100</f>
        <v>0</v>
      </c>
      <c r="BE115" s="38">
        <v>0</v>
      </c>
      <c r="BF115" s="38">
        <f>115</f>
        <v>115</v>
      </c>
      <c r="BH115" s="38">
        <f>F115*AO115</f>
        <v>0</v>
      </c>
      <c r="BI115" s="38">
        <f>F115*AP115</f>
        <v>0</v>
      </c>
      <c r="BJ115" s="38">
        <f>F115*G115</f>
        <v>0</v>
      </c>
      <c r="BK115" s="41" t="s">
        <v>65</v>
      </c>
      <c r="BL115" s="38"/>
      <c r="BW115" s="38">
        <v>0</v>
      </c>
      <c r="BX115" s="26" t="s">
        <v>376</v>
      </c>
    </row>
    <row r="116" spans="1:76" ht="14.4" x14ac:dyDescent="0.3">
      <c r="A116" s="17" t="s">
        <v>377</v>
      </c>
      <c r="B116" s="18" t="s">
        <v>378</v>
      </c>
      <c r="C116" s="61" t="s">
        <v>379</v>
      </c>
      <c r="D116" s="58"/>
      <c r="E116" s="18" t="s">
        <v>112</v>
      </c>
      <c r="F116" s="38">
        <v>8.8827700000000007</v>
      </c>
      <c r="G116" s="39">
        <v>0</v>
      </c>
      <c r="H116" s="38">
        <f>ROUND(F116*AO116,2)</f>
        <v>0</v>
      </c>
      <c r="I116" s="38">
        <f>ROUND(F116*AP116,2)</f>
        <v>0</v>
      </c>
      <c r="J116" s="38">
        <f>ROUND(F116*G116,2)</f>
        <v>0</v>
      </c>
      <c r="K116" s="40" t="s">
        <v>60</v>
      </c>
      <c r="Z116" s="38">
        <f>ROUND(IF(AQ116="5",BJ116,0),2)</f>
        <v>0</v>
      </c>
      <c r="AB116" s="38">
        <f>ROUND(IF(AQ116="1",BH116,0),2)</f>
        <v>0</v>
      </c>
      <c r="AC116" s="38">
        <f>ROUND(IF(AQ116="1",BI116,0),2)</f>
        <v>0</v>
      </c>
      <c r="AD116" s="38">
        <f>ROUND(IF(AQ116="7",BH116,0),2)</f>
        <v>0</v>
      </c>
      <c r="AE116" s="38">
        <f>ROUND(IF(AQ116="7",BI116,0),2)</f>
        <v>0</v>
      </c>
      <c r="AF116" s="38">
        <f>ROUND(IF(AQ116="2",BH116,0),2)</f>
        <v>0</v>
      </c>
      <c r="AG116" s="38">
        <f>ROUND(IF(AQ116="2",BI116,0),2)</f>
        <v>0</v>
      </c>
      <c r="AH116" s="38">
        <f>ROUND(IF(AQ116="0",BJ116,0),2)</f>
        <v>0</v>
      </c>
      <c r="AI116" s="29" t="s">
        <v>299</v>
      </c>
      <c r="AJ116" s="38">
        <f>IF(AN116=0,J116,0)</f>
        <v>0</v>
      </c>
      <c r="AK116" s="38">
        <f>IF(AN116=12,J116,0)</f>
        <v>0</v>
      </c>
      <c r="AL116" s="38">
        <f>IF(AN116=21,J116,0)</f>
        <v>0</v>
      </c>
      <c r="AN116" s="38">
        <v>0</v>
      </c>
      <c r="AO116" s="38">
        <f>G116*0</f>
        <v>0</v>
      </c>
      <c r="AP116" s="38">
        <f>G116*(1-0)</f>
        <v>0</v>
      </c>
      <c r="AQ116" s="41" t="s">
        <v>76</v>
      </c>
      <c r="AV116" s="38">
        <f>ROUND(AW116+AX116,2)</f>
        <v>0</v>
      </c>
      <c r="AW116" s="38">
        <f>ROUND(F116*AO116,2)</f>
        <v>0</v>
      </c>
      <c r="AX116" s="38">
        <f>ROUND(F116*AP116,2)</f>
        <v>0</v>
      </c>
      <c r="AY116" s="41" t="s">
        <v>373</v>
      </c>
      <c r="AZ116" s="41" t="s">
        <v>346</v>
      </c>
      <c r="BA116" s="29" t="s">
        <v>304</v>
      </c>
      <c r="BC116" s="38">
        <f>AW116+AX116</f>
        <v>0</v>
      </c>
      <c r="BD116" s="38">
        <f>G116/(100-BE116)*100</f>
        <v>0</v>
      </c>
      <c r="BE116" s="38">
        <v>0</v>
      </c>
      <c r="BF116" s="38">
        <f>116</f>
        <v>116</v>
      </c>
      <c r="BH116" s="38">
        <f>F116*AO116</f>
        <v>0</v>
      </c>
      <c r="BI116" s="38">
        <f>F116*AP116</f>
        <v>0</v>
      </c>
      <c r="BJ116" s="38">
        <f>F116*G116</f>
        <v>0</v>
      </c>
      <c r="BK116" s="41" t="s">
        <v>65</v>
      </c>
      <c r="BL116" s="38"/>
      <c r="BW116" s="38">
        <v>0</v>
      </c>
      <c r="BX116" s="26" t="s">
        <v>379</v>
      </c>
    </row>
    <row r="117" spans="1:76" ht="14.4" x14ac:dyDescent="0.3">
      <c r="A117" s="17" t="s">
        <v>380</v>
      </c>
      <c r="B117" s="18" t="s">
        <v>381</v>
      </c>
      <c r="C117" s="61" t="s">
        <v>382</v>
      </c>
      <c r="D117" s="58"/>
      <c r="E117" s="18" t="s">
        <v>112</v>
      </c>
      <c r="F117" s="38">
        <v>8.8827700000000007</v>
      </c>
      <c r="G117" s="39">
        <v>0</v>
      </c>
      <c r="H117" s="38">
        <f>ROUND(F117*AO117,2)</f>
        <v>0</v>
      </c>
      <c r="I117" s="38">
        <f>ROUND(F117*AP117,2)</f>
        <v>0</v>
      </c>
      <c r="J117" s="38">
        <f>ROUND(F117*G117,2)</f>
        <v>0</v>
      </c>
      <c r="K117" s="40" t="s">
        <v>60</v>
      </c>
      <c r="Z117" s="38">
        <f>ROUND(IF(AQ117="5",BJ117,0),2)</f>
        <v>0</v>
      </c>
      <c r="AB117" s="38">
        <f>ROUND(IF(AQ117="1",BH117,0),2)</f>
        <v>0</v>
      </c>
      <c r="AC117" s="38">
        <f>ROUND(IF(AQ117="1",BI117,0),2)</f>
        <v>0</v>
      </c>
      <c r="AD117" s="38">
        <f>ROUND(IF(AQ117="7",BH117,0),2)</f>
        <v>0</v>
      </c>
      <c r="AE117" s="38">
        <f>ROUND(IF(AQ117="7",BI117,0),2)</f>
        <v>0</v>
      </c>
      <c r="AF117" s="38">
        <f>ROUND(IF(AQ117="2",BH117,0),2)</f>
        <v>0</v>
      </c>
      <c r="AG117" s="38">
        <f>ROUND(IF(AQ117="2",BI117,0),2)</f>
        <v>0</v>
      </c>
      <c r="AH117" s="38">
        <f>ROUND(IF(AQ117="0",BJ117,0),2)</f>
        <v>0</v>
      </c>
      <c r="AI117" s="29" t="s">
        <v>299</v>
      </c>
      <c r="AJ117" s="38">
        <f>IF(AN117=0,J117,0)</f>
        <v>0</v>
      </c>
      <c r="AK117" s="38">
        <f>IF(AN117=12,J117,0)</f>
        <v>0</v>
      </c>
      <c r="AL117" s="38">
        <f>IF(AN117=21,J117,0)</f>
        <v>0</v>
      </c>
      <c r="AN117" s="38">
        <v>0</v>
      </c>
      <c r="AO117" s="38">
        <f>G117*0</f>
        <v>0</v>
      </c>
      <c r="AP117" s="38">
        <f>G117*(1-0)</f>
        <v>0</v>
      </c>
      <c r="AQ117" s="41" t="s">
        <v>76</v>
      </c>
      <c r="AV117" s="38">
        <f>ROUND(AW117+AX117,2)</f>
        <v>0</v>
      </c>
      <c r="AW117" s="38">
        <f>ROUND(F117*AO117,2)</f>
        <v>0</v>
      </c>
      <c r="AX117" s="38">
        <f>ROUND(F117*AP117,2)</f>
        <v>0</v>
      </c>
      <c r="AY117" s="41" t="s">
        <v>373</v>
      </c>
      <c r="AZ117" s="41" t="s">
        <v>346</v>
      </c>
      <c r="BA117" s="29" t="s">
        <v>304</v>
      </c>
      <c r="BC117" s="38">
        <f>AW117+AX117</f>
        <v>0</v>
      </c>
      <c r="BD117" s="38">
        <f>G117/(100-BE117)*100</f>
        <v>0</v>
      </c>
      <c r="BE117" s="38">
        <v>0</v>
      </c>
      <c r="BF117" s="38">
        <f>117</f>
        <v>117</v>
      </c>
      <c r="BH117" s="38">
        <f>F117*AO117</f>
        <v>0</v>
      </c>
      <c r="BI117" s="38">
        <f>F117*AP117</f>
        <v>0</v>
      </c>
      <c r="BJ117" s="38">
        <f>F117*G117</f>
        <v>0</v>
      </c>
      <c r="BK117" s="41" t="s">
        <v>65</v>
      </c>
      <c r="BL117" s="38"/>
      <c r="BW117" s="38">
        <v>0</v>
      </c>
      <c r="BX117" s="26" t="s">
        <v>382</v>
      </c>
    </row>
    <row r="118" spans="1:76" ht="14.4" x14ac:dyDescent="0.3">
      <c r="A118" s="17" t="s">
        <v>383</v>
      </c>
      <c r="B118" s="18" t="s">
        <v>384</v>
      </c>
      <c r="C118" s="61" t="s">
        <v>385</v>
      </c>
      <c r="D118" s="58"/>
      <c r="E118" s="18" t="s">
        <v>112</v>
      </c>
      <c r="F118" s="38">
        <v>8.8827700000000007</v>
      </c>
      <c r="G118" s="39">
        <v>0</v>
      </c>
      <c r="H118" s="38">
        <f>ROUND(F118*AO118,2)</f>
        <v>0</v>
      </c>
      <c r="I118" s="38">
        <f>ROUND(F118*AP118,2)</f>
        <v>0</v>
      </c>
      <c r="J118" s="38">
        <f>ROUND(F118*G118,2)</f>
        <v>0</v>
      </c>
      <c r="K118" s="40" t="s">
        <v>60</v>
      </c>
      <c r="Z118" s="38">
        <f>ROUND(IF(AQ118="5",BJ118,0),2)</f>
        <v>0</v>
      </c>
      <c r="AB118" s="38">
        <f>ROUND(IF(AQ118="1",BH118,0),2)</f>
        <v>0</v>
      </c>
      <c r="AC118" s="38">
        <f>ROUND(IF(AQ118="1",BI118,0),2)</f>
        <v>0</v>
      </c>
      <c r="AD118" s="38">
        <f>ROUND(IF(AQ118="7",BH118,0),2)</f>
        <v>0</v>
      </c>
      <c r="AE118" s="38">
        <f>ROUND(IF(AQ118="7",BI118,0),2)</f>
        <v>0</v>
      </c>
      <c r="AF118" s="38">
        <f>ROUND(IF(AQ118="2",BH118,0),2)</f>
        <v>0</v>
      </c>
      <c r="AG118" s="38">
        <f>ROUND(IF(AQ118="2",BI118,0),2)</f>
        <v>0</v>
      </c>
      <c r="AH118" s="38">
        <f>ROUND(IF(AQ118="0",BJ118,0),2)</f>
        <v>0</v>
      </c>
      <c r="AI118" s="29" t="s">
        <v>299</v>
      </c>
      <c r="AJ118" s="38">
        <f>IF(AN118=0,J118,0)</f>
        <v>0</v>
      </c>
      <c r="AK118" s="38">
        <f>IF(AN118=12,J118,0)</f>
        <v>0</v>
      </c>
      <c r="AL118" s="38">
        <f>IF(AN118=21,J118,0)</f>
        <v>0</v>
      </c>
      <c r="AN118" s="38">
        <v>0</v>
      </c>
      <c r="AO118" s="38">
        <f>G118*0</f>
        <v>0</v>
      </c>
      <c r="AP118" s="38">
        <f>G118*(1-0)</f>
        <v>0</v>
      </c>
      <c r="AQ118" s="41" t="s">
        <v>76</v>
      </c>
      <c r="AV118" s="38">
        <f>ROUND(AW118+AX118,2)</f>
        <v>0</v>
      </c>
      <c r="AW118" s="38">
        <f>ROUND(F118*AO118,2)</f>
        <v>0</v>
      </c>
      <c r="AX118" s="38">
        <f>ROUND(F118*AP118,2)</f>
        <v>0</v>
      </c>
      <c r="AY118" s="41" t="s">
        <v>373</v>
      </c>
      <c r="AZ118" s="41" t="s">
        <v>346</v>
      </c>
      <c r="BA118" s="29" t="s">
        <v>304</v>
      </c>
      <c r="BC118" s="38">
        <f>AW118+AX118</f>
        <v>0</v>
      </c>
      <c r="BD118" s="38">
        <f>G118/(100-BE118)*100</f>
        <v>0</v>
      </c>
      <c r="BE118" s="38">
        <v>0</v>
      </c>
      <c r="BF118" s="38">
        <f>118</f>
        <v>118</v>
      </c>
      <c r="BH118" s="38">
        <f>F118*AO118</f>
        <v>0</v>
      </c>
      <c r="BI118" s="38">
        <f>F118*AP118</f>
        <v>0</v>
      </c>
      <c r="BJ118" s="38">
        <f>F118*G118</f>
        <v>0</v>
      </c>
      <c r="BK118" s="41" t="s">
        <v>65</v>
      </c>
      <c r="BL118" s="38"/>
      <c r="BW118" s="38">
        <v>0</v>
      </c>
      <c r="BX118" s="26" t="s">
        <v>385</v>
      </c>
    </row>
    <row r="119" spans="1:76" ht="14.4" x14ac:dyDescent="0.3">
      <c r="A119" s="34" t="s">
        <v>51</v>
      </c>
      <c r="B119" s="35" t="s">
        <v>51</v>
      </c>
      <c r="C119" s="78" t="s">
        <v>386</v>
      </c>
      <c r="D119" s="79"/>
      <c r="E119" s="36" t="s">
        <v>4</v>
      </c>
      <c r="F119" s="36" t="s">
        <v>4</v>
      </c>
      <c r="G119" s="25" t="s">
        <v>4</v>
      </c>
      <c r="H119" s="24">
        <f>H120+H122+H125+H128+H130+H132+H136+H140+H142+H144+H146+H149+H152+H154+H158+H165</f>
        <v>0</v>
      </c>
      <c r="I119" s="24">
        <f>I120+I122+I125+I128+I130+I132+I136+I140+I142+I144+I146+I149+I152+I154+I158+I165</f>
        <v>0</v>
      </c>
      <c r="J119" s="24">
        <f>J120+J122+J125+J128+J130+J132+J136+J140+J142+J144+J146+J149+J152+J154+J158+J165</f>
        <v>0</v>
      </c>
      <c r="K119" s="37" t="s">
        <v>51</v>
      </c>
    </row>
    <row r="120" spans="1:76" ht="14.4" x14ac:dyDescent="0.3">
      <c r="A120" s="34" t="s">
        <v>51</v>
      </c>
      <c r="B120" s="35" t="s">
        <v>100</v>
      </c>
      <c r="C120" s="78" t="s">
        <v>387</v>
      </c>
      <c r="D120" s="79"/>
      <c r="E120" s="36" t="s">
        <v>4</v>
      </c>
      <c r="F120" s="36" t="s">
        <v>4</v>
      </c>
      <c r="G120" s="25" t="s">
        <v>4</v>
      </c>
      <c r="H120" s="24">
        <f>SUM(H121:H121)</f>
        <v>0</v>
      </c>
      <c r="I120" s="24">
        <f>SUM(I121:I121)</f>
        <v>0</v>
      </c>
      <c r="J120" s="24">
        <f>SUM(J121:J121)</f>
        <v>0</v>
      </c>
      <c r="K120" s="37" t="s">
        <v>51</v>
      </c>
      <c r="AI120" s="29" t="s">
        <v>388</v>
      </c>
      <c r="AS120" s="24">
        <f>SUM(AJ121:AJ121)</f>
        <v>0</v>
      </c>
      <c r="AT120" s="24">
        <f>SUM(AK121:AK121)</f>
        <v>0</v>
      </c>
      <c r="AU120" s="24">
        <f>SUM(AL121:AL121)</f>
        <v>0</v>
      </c>
    </row>
    <row r="121" spans="1:76" ht="14.4" x14ac:dyDescent="0.3">
      <c r="A121" s="17" t="s">
        <v>389</v>
      </c>
      <c r="B121" s="18" t="s">
        <v>390</v>
      </c>
      <c r="C121" s="61" t="s">
        <v>391</v>
      </c>
      <c r="D121" s="58"/>
      <c r="E121" s="18" t="s">
        <v>392</v>
      </c>
      <c r="F121" s="38">
        <v>0.5</v>
      </c>
      <c r="G121" s="39">
        <v>0</v>
      </c>
      <c r="H121" s="38">
        <f>ROUND(F121*AO121,2)</f>
        <v>0</v>
      </c>
      <c r="I121" s="38">
        <f>ROUND(F121*AP121,2)</f>
        <v>0</v>
      </c>
      <c r="J121" s="38">
        <f>ROUND(F121*G121,2)</f>
        <v>0</v>
      </c>
      <c r="K121" s="40" t="s">
        <v>60</v>
      </c>
      <c r="Z121" s="38">
        <f>ROUND(IF(AQ121="5",BJ121,0),2)</f>
        <v>0</v>
      </c>
      <c r="AB121" s="38">
        <f>ROUND(IF(AQ121="1",BH121,0),2)</f>
        <v>0</v>
      </c>
      <c r="AC121" s="38">
        <f>ROUND(IF(AQ121="1",BI121,0),2)</f>
        <v>0</v>
      </c>
      <c r="AD121" s="38">
        <f>ROUND(IF(AQ121="7",BH121,0),2)</f>
        <v>0</v>
      </c>
      <c r="AE121" s="38">
        <f>ROUND(IF(AQ121="7",BI121,0),2)</f>
        <v>0</v>
      </c>
      <c r="AF121" s="38">
        <f>ROUND(IF(AQ121="2",BH121,0),2)</f>
        <v>0</v>
      </c>
      <c r="AG121" s="38">
        <f>ROUND(IF(AQ121="2",BI121,0),2)</f>
        <v>0</v>
      </c>
      <c r="AH121" s="38">
        <f>ROUND(IF(AQ121="0",BJ121,0),2)</f>
        <v>0</v>
      </c>
      <c r="AI121" s="29" t="s">
        <v>388</v>
      </c>
      <c r="AJ121" s="38">
        <f>IF(AN121=0,J121,0)</f>
        <v>0</v>
      </c>
      <c r="AK121" s="38">
        <f>IF(AN121=12,J121,0)</f>
        <v>0</v>
      </c>
      <c r="AL121" s="38">
        <f>IF(AN121=21,J121,0)</f>
        <v>0</v>
      </c>
      <c r="AN121" s="38">
        <v>0</v>
      </c>
      <c r="AO121" s="38">
        <f>G121*0</f>
        <v>0</v>
      </c>
      <c r="AP121" s="38">
        <f>G121*(1-0)</f>
        <v>0</v>
      </c>
      <c r="AQ121" s="41" t="s">
        <v>56</v>
      </c>
      <c r="AV121" s="38">
        <f>ROUND(AW121+AX121,2)</f>
        <v>0</v>
      </c>
      <c r="AW121" s="38">
        <f>ROUND(F121*AO121,2)</f>
        <v>0</v>
      </c>
      <c r="AX121" s="38">
        <f>ROUND(F121*AP121,2)</f>
        <v>0</v>
      </c>
      <c r="AY121" s="41" t="s">
        <v>393</v>
      </c>
      <c r="AZ121" s="41" t="s">
        <v>394</v>
      </c>
      <c r="BA121" s="29" t="s">
        <v>395</v>
      </c>
      <c r="BC121" s="38">
        <f>AW121+AX121</f>
        <v>0</v>
      </c>
      <c r="BD121" s="38">
        <f>G121/(100-BE121)*100</f>
        <v>0</v>
      </c>
      <c r="BE121" s="38">
        <v>0</v>
      </c>
      <c r="BF121" s="38">
        <f>121</f>
        <v>121</v>
      </c>
      <c r="BH121" s="38">
        <f>F121*AO121</f>
        <v>0</v>
      </c>
      <c r="BI121" s="38">
        <f>F121*AP121</f>
        <v>0</v>
      </c>
      <c r="BJ121" s="38">
        <f>F121*G121</f>
        <v>0</v>
      </c>
      <c r="BK121" s="41" t="s">
        <v>65</v>
      </c>
      <c r="BL121" s="38">
        <v>13</v>
      </c>
      <c r="BW121" s="38">
        <v>0</v>
      </c>
      <c r="BX121" s="26" t="s">
        <v>391</v>
      </c>
    </row>
    <row r="122" spans="1:76" ht="14.4" x14ac:dyDescent="0.3">
      <c r="A122" s="34" t="s">
        <v>51</v>
      </c>
      <c r="B122" s="35" t="s">
        <v>152</v>
      </c>
      <c r="C122" s="78" t="s">
        <v>396</v>
      </c>
      <c r="D122" s="79"/>
      <c r="E122" s="36" t="s">
        <v>4</v>
      </c>
      <c r="F122" s="36" t="s">
        <v>4</v>
      </c>
      <c r="G122" s="25" t="s">
        <v>4</v>
      </c>
      <c r="H122" s="24">
        <f>SUM(H123:H124)</f>
        <v>0</v>
      </c>
      <c r="I122" s="24">
        <f>SUM(I123:I124)</f>
        <v>0</v>
      </c>
      <c r="J122" s="24">
        <f>SUM(J123:J124)</f>
        <v>0</v>
      </c>
      <c r="K122" s="37" t="s">
        <v>51</v>
      </c>
      <c r="AI122" s="29" t="s">
        <v>388</v>
      </c>
      <c r="AS122" s="24">
        <f>SUM(AJ123:AJ124)</f>
        <v>0</v>
      </c>
      <c r="AT122" s="24">
        <f>SUM(AK123:AK124)</f>
        <v>0</v>
      </c>
      <c r="AU122" s="24">
        <f>SUM(AL123:AL124)</f>
        <v>0</v>
      </c>
    </row>
    <row r="123" spans="1:76" ht="14.4" x14ac:dyDescent="0.3">
      <c r="A123" s="17" t="s">
        <v>397</v>
      </c>
      <c r="B123" s="18" t="s">
        <v>398</v>
      </c>
      <c r="C123" s="61" t="s">
        <v>399</v>
      </c>
      <c r="D123" s="58"/>
      <c r="E123" s="18" t="s">
        <v>59</v>
      </c>
      <c r="F123" s="38">
        <v>8</v>
      </c>
      <c r="G123" s="39">
        <v>0</v>
      </c>
      <c r="H123" s="38">
        <f>ROUND(F123*AO123,2)</f>
        <v>0</v>
      </c>
      <c r="I123" s="38">
        <f>ROUND(F123*AP123,2)</f>
        <v>0</v>
      </c>
      <c r="J123" s="38">
        <f>ROUND(F123*G123,2)</f>
        <v>0</v>
      </c>
      <c r="K123" s="40" t="s">
        <v>51</v>
      </c>
      <c r="Z123" s="38">
        <f>ROUND(IF(AQ123="5",BJ123,0),2)</f>
        <v>0</v>
      </c>
      <c r="AB123" s="38">
        <f>ROUND(IF(AQ123="1",BH123,0),2)</f>
        <v>0</v>
      </c>
      <c r="AC123" s="38">
        <f>ROUND(IF(AQ123="1",BI123,0),2)</f>
        <v>0</v>
      </c>
      <c r="AD123" s="38">
        <f>ROUND(IF(AQ123="7",BH123,0),2)</f>
        <v>0</v>
      </c>
      <c r="AE123" s="38">
        <f>ROUND(IF(AQ123="7",BI123,0),2)</f>
        <v>0</v>
      </c>
      <c r="AF123" s="38">
        <f>ROUND(IF(AQ123="2",BH123,0),2)</f>
        <v>0</v>
      </c>
      <c r="AG123" s="38">
        <f>ROUND(IF(AQ123="2",BI123,0),2)</f>
        <v>0</v>
      </c>
      <c r="AH123" s="38">
        <f>ROUND(IF(AQ123="0",BJ123,0),2)</f>
        <v>0</v>
      </c>
      <c r="AI123" s="29" t="s">
        <v>388</v>
      </c>
      <c r="AJ123" s="38">
        <f>IF(AN123=0,J123,0)</f>
        <v>0</v>
      </c>
      <c r="AK123" s="38">
        <f>IF(AN123=12,J123,0)</f>
        <v>0</v>
      </c>
      <c r="AL123" s="38">
        <f>IF(AN123=21,J123,0)</f>
        <v>0</v>
      </c>
      <c r="AN123" s="38">
        <v>0</v>
      </c>
      <c r="AO123" s="38">
        <f>G123*0</f>
        <v>0</v>
      </c>
      <c r="AP123" s="38">
        <f>G123*(1-0)</f>
        <v>0</v>
      </c>
      <c r="AQ123" s="41" t="s">
        <v>56</v>
      </c>
      <c r="AV123" s="38">
        <f>ROUND(AW123+AX123,2)</f>
        <v>0</v>
      </c>
      <c r="AW123" s="38">
        <f>ROUND(F123*AO123,2)</f>
        <v>0</v>
      </c>
      <c r="AX123" s="38">
        <f>ROUND(F123*AP123,2)</f>
        <v>0</v>
      </c>
      <c r="AY123" s="41" t="s">
        <v>400</v>
      </c>
      <c r="AZ123" s="41" t="s">
        <v>401</v>
      </c>
      <c r="BA123" s="29" t="s">
        <v>395</v>
      </c>
      <c r="BC123" s="38">
        <f>AW123+AX123</f>
        <v>0</v>
      </c>
      <c r="BD123" s="38">
        <f>G123/(100-BE123)*100</f>
        <v>0</v>
      </c>
      <c r="BE123" s="38">
        <v>0</v>
      </c>
      <c r="BF123" s="38">
        <f>123</f>
        <v>123</v>
      </c>
      <c r="BH123" s="38">
        <f>F123*AO123</f>
        <v>0</v>
      </c>
      <c r="BI123" s="38">
        <f>F123*AP123</f>
        <v>0</v>
      </c>
      <c r="BJ123" s="38">
        <f>F123*G123</f>
        <v>0</v>
      </c>
      <c r="BK123" s="41" t="s">
        <v>65</v>
      </c>
      <c r="BL123" s="38">
        <v>27</v>
      </c>
      <c r="BW123" s="38">
        <v>0</v>
      </c>
      <c r="BX123" s="26" t="s">
        <v>399</v>
      </c>
    </row>
    <row r="124" spans="1:76" ht="14.4" x14ac:dyDescent="0.3">
      <c r="A124" s="17" t="s">
        <v>402</v>
      </c>
      <c r="B124" s="18" t="s">
        <v>403</v>
      </c>
      <c r="C124" s="61" t="s">
        <v>404</v>
      </c>
      <c r="D124" s="58"/>
      <c r="E124" s="18" t="s">
        <v>59</v>
      </c>
      <c r="F124" s="38">
        <v>8</v>
      </c>
      <c r="G124" s="39">
        <v>0</v>
      </c>
      <c r="H124" s="38">
        <f>ROUND(F124*AO124,2)</f>
        <v>0</v>
      </c>
      <c r="I124" s="38">
        <f>ROUND(F124*AP124,2)</f>
        <v>0</v>
      </c>
      <c r="J124" s="38">
        <f>ROUND(F124*G124,2)</f>
        <v>0</v>
      </c>
      <c r="K124" s="40" t="s">
        <v>51</v>
      </c>
      <c r="Z124" s="38">
        <f>ROUND(IF(AQ124="5",BJ124,0),2)</f>
        <v>0</v>
      </c>
      <c r="AB124" s="38">
        <f>ROUND(IF(AQ124="1",BH124,0),2)</f>
        <v>0</v>
      </c>
      <c r="AC124" s="38">
        <f>ROUND(IF(AQ124="1",BI124,0),2)</f>
        <v>0</v>
      </c>
      <c r="AD124" s="38">
        <f>ROUND(IF(AQ124="7",BH124,0),2)</f>
        <v>0</v>
      </c>
      <c r="AE124" s="38">
        <f>ROUND(IF(AQ124="7",BI124,0),2)</f>
        <v>0</v>
      </c>
      <c r="AF124" s="38">
        <f>ROUND(IF(AQ124="2",BH124,0),2)</f>
        <v>0</v>
      </c>
      <c r="AG124" s="38">
        <f>ROUND(IF(AQ124="2",BI124,0),2)</f>
        <v>0</v>
      </c>
      <c r="AH124" s="38">
        <f>ROUND(IF(AQ124="0",BJ124,0),2)</f>
        <v>0</v>
      </c>
      <c r="AI124" s="29" t="s">
        <v>388</v>
      </c>
      <c r="AJ124" s="38">
        <f>IF(AN124=0,J124,0)</f>
        <v>0</v>
      </c>
      <c r="AK124" s="38">
        <f>IF(AN124=12,J124,0)</f>
        <v>0</v>
      </c>
      <c r="AL124" s="38">
        <f>IF(AN124=21,J124,0)</f>
        <v>0</v>
      </c>
      <c r="AN124" s="38">
        <v>0</v>
      </c>
      <c r="AO124" s="38">
        <f>G124*0</f>
        <v>0</v>
      </c>
      <c r="AP124" s="38">
        <f>G124*(1-0)</f>
        <v>0</v>
      </c>
      <c r="AQ124" s="41" t="s">
        <v>56</v>
      </c>
      <c r="AV124" s="38">
        <f>ROUND(AW124+AX124,2)</f>
        <v>0</v>
      </c>
      <c r="AW124" s="38">
        <f>ROUND(F124*AO124,2)</f>
        <v>0</v>
      </c>
      <c r="AX124" s="38">
        <f>ROUND(F124*AP124,2)</f>
        <v>0</v>
      </c>
      <c r="AY124" s="41" t="s">
        <v>400</v>
      </c>
      <c r="AZ124" s="41" t="s">
        <v>401</v>
      </c>
      <c r="BA124" s="29" t="s">
        <v>395</v>
      </c>
      <c r="BC124" s="38">
        <f>AW124+AX124</f>
        <v>0</v>
      </c>
      <c r="BD124" s="38">
        <f>G124/(100-BE124)*100</f>
        <v>0</v>
      </c>
      <c r="BE124" s="38">
        <v>0</v>
      </c>
      <c r="BF124" s="38">
        <f>124</f>
        <v>124</v>
      </c>
      <c r="BH124" s="38">
        <f>F124*AO124</f>
        <v>0</v>
      </c>
      <c r="BI124" s="38">
        <f>F124*AP124</f>
        <v>0</v>
      </c>
      <c r="BJ124" s="38">
        <f>F124*G124</f>
        <v>0</v>
      </c>
      <c r="BK124" s="41" t="s">
        <v>65</v>
      </c>
      <c r="BL124" s="38">
        <v>27</v>
      </c>
      <c r="BW124" s="38">
        <v>0</v>
      </c>
      <c r="BX124" s="26" t="s">
        <v>404</v>
      </c>
    </row>
    <row r="125" spans="1:76" ht="14.4" x14ac:dyDescent="0.3">
      <c r="A125" s="34" t="s">
        <v>51</v>
      </c>
      <c r="B125" s="35" t="s">
        <v>194</v>
      </c>
      <c r="C125" s="78" t="s">
        <v>405</v>
      </c>
      <c r="D125" s="79"/>
      <c r="E125" s="36" t="s">
        <v>4</v>
      </c>
      <c r="F125" s="36" t="s">
        <v>4</v>
      </c>
      <c r="G125" s="25" t="s">
        <v>4</v>
      </c>
      <c r="H125" s="24">
        <f>SUM(H126:H127)</f>
        <v>0</v>
      </c>
      <c r="I125" s="24">
        <f>SUM(I126:I127)</f>
        <v>0</v>
      </c>
      <c r="J125" s="24">
        <f>SUM(J126:J127)</f>
        <v>0</v>
      </c>
      <c r="K125" s="37" t="s">
        <v>51</v>
      </c>
      <c r="AI125" s="29" t="s">
        <v>388</v>
      </c>
      <c r="AS125" s="24">
        <f>SUM(AJ126:AJ127)</f>
        <v>0</v>
      </c>
      <c r="AT125" s="24">
        <f>SUM(AK126:AK127)</f>
        <v>0</v>
      </c>
      <c r="AU125" s="24">
        <f>SUM(AL126:AL127)</f>
        <v>0</v>
      </c>
    </row>
    <row r="126" spans="1:76" ht="14.4" x14ac:dyDescent="0.3">
      <c r="A126" s="17" t="s">
        <v>340</v>
      </c>
      <c r="B126" s="18" t="s">
        <v>406</v>
      </c>
      <c r="C126" s="61" t="s">
        <v>407</v>
      </c>
      <c r="D126" s="58"/>
      <c r="E126" s="18" t="s">
        <v>59</v>
      </c>
      <c r="F126" s="38">
        <v>220</v>
      </c>
      <c r="G126" s="39">
        <v>0</v>
      </c>
      <c r="H126" s="38">
        <f>ROUND(F126*AO126,2)</f>
        <v>0</v>
      </c>
      <c r="I126" s="38">
        <f>ROUND(F126*AP126,2)</f>
        <v>0</v>
      </c>
      <c r="J126" s="38">
        <f>ROUND(F126*G126,2)</f>
        <v>0</v>
      </c>
      <c r="K126" s="40" t="s">
        <v>60</v>
      </c>
      <c r="Z126" s="38">
        <f>ROUND(IF(AQ126="5",BJ126,0),2)</f>
        <v>0</v>
      </c>
      <c r="AB126" s="38">
        <f>ROUND(IF(AQ126="1",BH126,0),2)</f>
        <v>0</v>
      </c>
      <c r="AC126" s="38">
        <f>ROUND(IF(AQ126="1",BI126,0),2)</f>
        <v>0</v>
      </c>
      <c r="AD126" s="38">
        <f>ROUND(IF(AQ126="7",BH126,0),2)</f>
        <v>0</v>
      </c>
      <c r="AE126" s="38">
        <f>ROUND(IF(AQ126="7",BI126,0),2)</f>
        <v>0</v>
      </c>
      <c r="AF126" s="38">
        <f>ROUND(IF(AQ126="2",BH126,0),2)</f>
        <v>0</v>
      </c>
      <c r="AG126" s="38">
        <f>ROUND(IF(AQ126="2",BI126,0),2)</f>
        <v>0</v>
      </c>
      <c r="AH126" s="38">
        <f>ROUND(IF(AQ126="0",BJ126,0),2)</f>
        <v>0</v>
      </c>
      <c r="AI126" s="29" t="s">
        <v>388</v>
      </c>
      <c r="AJ126" s="38">
        <f>IF(AN126=0,J126,0)</f>
        <v>0</v>
      </c>
      <c r="AK126" s="38">
        <f>IF(AN126=12,J126,0)</f>
        <v>0</v>
      </c>
      <c r="AL126" s="38">
        <f>IF(AN126=21,J126,0)</f>
        <v>0</v>
      </c>
      <c r="AN126" s="38">
        <v>0</v>
      </c>
      <c r="AO126" s="38">
        <f>G126*0.567874016</f>
        <v>0</v>
      </c>
      <c r="AP126" s="38">
        <f>G126*(1-0.567874016)</f>
        <v>0</v>
      </c>
      <c r="AQ126" s="41" t="s">
        <v>56</v>
      </c>
      <c r="AV126" s="38">
        <f>ROUND(AW126+AX126,2)</f>
        <v>0</v>
      </c>
      <c r="AW126" s="38">
        <f>ROUND(F126*AO126,2)</f>
        <v>0</v>
      </c>
      <c r="AX126" s="38">
        <f>ROUND(F126*AP126,2)</f>
        <v>0</v>
      </c>
      <c r="AY126" s="41" t="s">
        <v>408</v>
      </c>
      <c r="AZ126" s="41" t="s">
        <v>409</v>
      </c>
      <c r="BA126" s="29" t="s">
        <v>395</v>
      </c>
      <c r="BC126" s="38">
        <f>AW126+AX126</f>
        <v>0</v>
      </c>
      <c r="BD126" s="38">
        <f>G126/(100-BE126)*100</f>
        <v>0</v>
      </c>
      <c r="BE126" s="38">
        <v>0</v>
      </c>
      <c r="BF126" s="38">
        <f>126</f>
        <v>126</v>
      </c>
      <c r="BH126" s="38">
        <f>F126*AO126</f>
        <v>0</v>
      </c>
      <c r="BI126" s="38">
        <f>F126*AP126</f>
        <v>0</v>
      </c>
      <c r="BJ126" s="38">
        <f>F126*G126</f>
        <v>0</v>
      </c>
      <c r="BK126" s="41" t="s">
        <v>65</v>
      </c>
      <c r="BL126" s="38">
        <v>41</v>
      </c>
      <c r="BW126" s="38">
        <v>0</v>
      </c>
      <c r="BX126" s="26" t="s">
        <v>407</v>
      </c>
    </row>
    <row r="127" spans="1:76" ht="14.4" x14ac:dyDescent="0.3">
      <c r="A127" s="17" t="s">
        <v>410</v>
      </c>
      <c r="B127" s="18" t="s">
        <v>411</v>
      </c>
      <c r="C127" s="61" t="s">
        <v>412</v>
      </c>
      <c r="D127" s="58"/>
      <c r="E127" s="18" t="s">
        <v>59</v>
      </c>
      <c r="F127" s="38">
        <v>220</v>
      </c>
      <c r="G127" s="39">
        <v>0</v>
      </c>
      <c r="H127" s="38">
        <f>ROUND(F127*AO127,2)</f>
        <v>0</v>
      </c>
      <c r="I127" s="38">
        <f>ROUND(F127*AP127,2)</f>
        <v>0</v>
      </c>
      <c r="J127" s="38">
        <f>ROUND(F127*G127,2)</f>
        <v>0</v>
      </c>
      <c r="K127" s="40" t="s">
        <v>60</v>
      </c>
      <c r="Z127" s="38">
        <f>ROUND(IF(AQ127="5",BJ127,0),2)</f>
        <v>0</v>
      </c>
      <c r="AB127" s="38">
        <f>ROUND(IF(AQ127="1",BH127,0),2)</f>
        <v>0</v>
      </c>
      <c r="AC127" s="38">
        <f>ROUND(IF(AQ127="1",BI127,0),2)</f>
        <v>0</v>
      </c>
      <c r="AD127" s="38">
        <f>ROUND(IF(AQ127="7",BH127,0),2)</f>
        <v>0</v>
      </c>
      <c r="AE127" s="38">
        <f>ROUND(IF(AQ127="7",BI127,0),2)</f>
        <v>0</v>
      </c>
      <c r="AF127" s="38">
        <f>ROUND(IF(AQ127="2",BH127,0),2)</f>
        <v>0</v>
      </c>
      <c r="AG127" s="38">
        <f>ROUND(IF(AQ127="2",BI127,0),2)</f>
        <v>0</v>
      </c>
      <c r="AH127" s="38">
        <f>ROUND(IF(AQ127="0",BJ127,0),2)</f>
        <v>0</v>
      </c>
      <c r="AI127" s="29" t="s">
        <v>388</v>
      </c>
      <c r="AJ127" s="38">
        <f>IF(AN127=0,J127,0)</f>
        <v>0</v>
      </c>
      <c r="AK127" s="38">
        <f>IF(AN127=12,J127,0)</f>
        <v>0</v>
      </c>
      <c r="AL127" s="38">
        <f>IF(AN127=21,J127,0)</f>
        <v>0</v>
      </c>
      <c r="AN127" s="38">
        <v>0</v>
      </c>
      <c r="AO127" s="38">
        <f>G127*0.012926009</f>
        <v>0</v>
      </c>
      <c r="AP127" s="38">
        <f>G127*(1-0.012926009)</f>
        <v>0</v>
      </c>
      <c r="AQ127" s="41" t="s">
        <v>56</v>
      </c>
      <c r="AV127" s="38">
        <f>ROUND(AW127+AX127,2)</f>
        <v>0</v>
      </c>
      <c r="AW127" s="38">
        <f>ROUND(F127*AO127,2)</f>
        <v>0</v>
      </c>
      <c r="AX127" s="38">
        <f>ROUND(F127*AP127,2)</f>
        <v>0</v>
      </c>
      <c r="AY127" s="41" t="s">
        <v>408</v>
      </c>
      <c r="AZ127" s="41" t="s">
        <v>409</v>
      </c>
      <c r="BA127" s="29" t="s">
        <v>395</v>
      </c>
      <c r="BC127" s="38">
        <f>AW127+AX127</f>
        <v>0</v>
      </c>
      <c r="BD127" s="38">
        <f>G127/(100-BE127)*100</f>
        <v>0</v>
      </c>
      <c r="BE127" s="38">
        <v>0</v>
      </c>
      <c r="BF127" s="38">
        <f>127</f>
        <v>127</v>
      </c>
      <c r="BH127" s="38">
        <f>F127*AO127</f>
        <v>0</v>
      </c>
      <c r="BI127" s="38">
        <f>F127*AP127</f>
        <v>0</v>
      </c>
      <c r="BJ127" s="38">
        <f>F127*G127</f>
        <v>0</v>
      </c>
      <c r="BK127" s="41" t="s">
        <v>65</v>
      </c>
      <c r="BL127" s="38">
        <v>41</v>
      </c>
      <c r="BW127" s="38">
        <v>0</v>
      </c>
      <c r="BX127" s="26" t="s">
        <v>412</v>
      </c>
    </row>
    <row r="128" spans="1:76" ht="14.4" x14ac:dyDescent="0.3">
      <c r="A128" s="34" t="s">
        <v>51</v>
      </c>
      <c r="B128" s="35" t="s">
        <v>203</v>
      </c>
      <c r="C128" s="78" t="s">
        <v>413</v>
      </c>
      <c r="D128" s="79"/>
      <c r="E128" s="36" t="s">
        <v>4</v>
      </c>
      <c r="F128" s="36" t="s">
        <v>4</v>
      </c>
      <c r="G128" s="25" t="s">
        <v>4</v>
      </c>
      <c r="H128" s="24">
        <f>SUM(H129:H129)</f>
        <v>0</v>
      </c>
      <c r="I128" s="24">
        <f>SUM(I129:I129)</f>
        <v>0</v>
      </c>
      <c r="J128" s="24">
        <f>SUM(J129:J129)</f>
        <v>0</v>
      </c>
      <c r="K128" s="37" t="s">
        <v>51</v>
      </c>
      <c r="AI128" s="29" t="s">
        <v>388</v>
      </c>
      <c r="AS128" s="24">
        <f>SUM(AJ129:AJ129)</f>
        <v>0</v>
      </c>
      <c r="AT128" s="24">
        <f>SUM(AK129:AK129)</f>
        <v>0</v>
      </c>
      <c r="AU128" s="24">
        <f>SUM(AL129:AL129)</f>
        <v>0</v>
      </c>
    </row>
    <row r="129" spans="1:76" ht="14.4" x14ac:dyDescent="0.3">
      <c r="A129" s="17" t="s">
        <v>347</v>
      </c>
      <c r="B129" s="18" t="s">
        <v>414</v>
      </c>
      <c r="C129" s="61" t="s">
        <v>415</v>
      </c>
      <c r="D129" s="58"/>
      <c r="E129" s="18" t="s">
        <v>126</v>
      </c>
      <c r="F129" s="38">
        <v>1</v>
      </c>
      <c r="G129" s="39">
        <v>0</v>
      </c>
      <c r="H129" s="38">
        <f>ROUND(F129*AO129,2)</f>
        <v>0</v>
      </c>
      <c r="I129" s="38">
        <f>ROUND(F129*AP129,2)</f>
        <v>0</v>
      </c>
      <c r="J129" s="38">
        <f>ROUND(F129*G129,2)</f>
        <v>0</v>
      </c>
      <c r="K129" s="40" t="s">
        <v>51</v>
      </c>
      <c r="Z129" s="38">
        <f>ROUND(IF(AQ129="5",BJ129,0),2)</f>
        <v>0</v>
      </c>
      <c r="AB129" s="38">
        <f>ROUND(IF(AQ129="1",BH129,0),2)</f>
        <v>0</v>
      </c>
      <c r="AC129" s="38">
        <f>ROUND(IF(AQ129="1",BI129,0),2)</f>
        <v>0</v>
      </c>
      <c r="AD129" s="38">
        <f>ROUND(IF(AQ129="7",BH129,0),2)</f>
        <v>0</v>
      </c>
      <c r="AE129" s="38">
        <f>ROUND(IF(AQ129="7",BI129,0),2)</f>
        <v>0</v>
      </c>
      <c r="AF129" s="38">
        <f>ROUND(IF(AQ129="2",BH129,0),2)</f>
        <v>0</v>
      </c>
      <c r="AG129" s="38">
        <f>ROUND(IF(AQ129="2",BI129,0),2)</f>
        <v>0</v>
      </c>
      <c r="AH129" s="38">
        <f>ROUND(IF(AQ129="0",BJ129,0),2)</f>
        <v>0</v>
      </c>
      <c r="AI129" s="29" t="s">
        <v>388</v>
      </c>
      <c r="AJ129" s="38">
        <f>IF(AN129=0,J129,0)</f>
        <v>0</v>
      </c>
      <c r="AK129" s="38">
        <f>IF(AN129=12,J129,0)</f>
        <v>0</v>
      </c>
      <c r="AL129" s="38">
        <f>IF(AN129=21,J129,0)</f>
        <v>0</v>
      </c>
      <c r="AN129" s="38">
        <v>0</v>
      </c>
      <c r="AO129" s="38">
        <f>G129*0</f>
        <v>0</v>
      </c>
      <c r="AP129" s="38">
        <f>G129*(1-0)</f>
        <v>0</v>
      </c>
      <c r="AQ129" s="41" t="s">
        <v>56</v>
      </c>
      <c r="AV129" s="38">
        <f>ROUND(AW129+AX129,2)</f>
        <v>0</v>
      </c>
      <c r="AW129" s="38">
        <f>ROUND(F129*AO129,2)</f>
        <v>0</v>
      </c>
      <c r="AX129" s="38">
        <f>ROUND(F129*AP129,2)</f>
        <v>0</v>
      </c>
      <c r="AY129" s="41" t="s">
        <v>416</v>
      </c>
      <c r="AZ129" s="41" t="s">
        <v>409</v>
      </c>
      <c r="BA129" s="29" t="s">
        <v>395</v>
      </c>
      <c r="BC129" s="38">
        <f>AW129+AX129</f>
        <v>0</v>
      </c>
      <c r="BD129" s="38">
        <f>G129/(100-BE129)*100</f>
        <v>0</v>
      </c>
      <c r="BE129" s="38">
        <v>0</v>
      </c>
      <c r="BF129" s="38">
        <f>129</f>
        <v>129</v>
      </c>
      <c r="BH129" s="38">
        <f>F129*AO129</f>
        <v>0</v>
      </c>
      <c r="BI129" s="38">
        <f>F129*AP129</f>
        <v>0</v>
      </c>
      <c r="BJ129" s="38">
        <f>F129*G129</f>
        <v>0</v>
      </c>
      <c r="BK129" s="41" t="s">
        <v>65</v>
      </c>
      <c r="BL129" s="38">
        <v>44</v>
      </c>
      <c r="BW129" s="38">
        <v>0</v>
      </c>
      <c r="BX129" s="26" t="s">
        <v>415</v>
      </c>
    </row>
    <row r="130" spans="1:76" ht="14.4" x14ac:dyDescent="0.3">
      <c r="A130" s="34" t="s">
        <v>51</v>
      </c>
      <c r="B130" s="35" t="s">
        <v>261</v>
      </c>
      <c r="C130" s="78" t="s">
        <v>417</v>
      </c>
      <c r="D130" s="79"/>
      <c r="E130" s="36" t="s">
        <v>4</v>
      </c>
      <c r="F130" s="36" t="s">
        <v>4</v>
      </c>
      <c r="G130" s="25" t="s">
        <v>4</v>
      </c>
      <c r="H130" s="24">
        <f>SUM(H131:H131)</f>
        <v>0</v>
      </c>
      <c r="I130" s="24">
        <f>SUM(I131:I131)</f>
        <v>0</v>
      </c>
      <c r="J130" s="24">
        <f>SUM(J131:J131)</f>
        <v>0</v>
      </c>
      <c r="K130" s="37" t="s">
        <v>51</v>
      </c>
      <c r="AI130" s="29" t="s">
        <v>388</v>
      </c>
      <c r="AS130" s="24">
        <f>SUM(AJ131:AJ131)</f>
        <v>0</v>
      </c>
      <c r="AT130" s="24">
        <f>SUM(AK131:AK131)</f>
        <v>0</v>
      </c>
      <c r="AU130" s="24">
        <f>SUM(AL131:AL131)</f>
        <v>0</v>
      </c>
    </row>
    <row r="131" spans="1:76" ht="14.4" x14ac:dyDescent="0.3">
      <c r="A131" s="17" t="s">
        <v>418</v>
      </c>
      <c r="B131" s="18" t="s">
        <v>419</v>
      </c>
      <c r="C131" s="61" t="s">
        <v>420</v>
      </c>
      <c r="D131" s="58"/>
      <c r="E131" s="18" t="s">
        <v>59</v>
      </c>
      <c r="F131" s="38">
        <v>17.2</v>
      </c>
      <c r="G131" s="39">
        <v>0</v>
      </c>
      <c r="H131" s="38">
        <f>ROUND(F131*AO131,2)</f>
        <v>0</v>
      </c>
      <c r="I131" s="38">
        <f>ROUND(F131*AP131,2)</f>
        <v>0</v>
      </c>
      <c r="J131" s="38">
        <f>ROUND(F131*G131,2)</f>
        <v>0</v>
      </c>
      <c r="K131" s="40" t="s">
        <v>51</v>
      </c>
      <c r="Z131" s="38">
        <f>ROUND(IF(AQ131="5",BJ131,0),2)</f>
        <v>0</v>
      </c>
      <c r="AB131" s="38">
        <f>ROUND(IF(AQ131="1",BH131,0),2)</f>
        <v>0</v>
      </c>
      <c r="AC131" s="38">
        <f>ROUND(IF(AQ131="1",BI131,0),2)</f>
        <v>0</v>
      </c>
      <c r="AD131" s="38">
        <f>ROUND(IF(AQ131="7",BH131,0),2)</f>
        <v>0</v>
      </c>
      <c r="AE131" s="38">
        <f>ROUND(IF(AQ131="7",BI131,0),2)</f>
        <v>0</v>
      </c>
      <c r="AF131" s="38">
        <f>ROUND(IF(AQ131="2",BH131,0),2)</f>
        <v>0</v>
      </c>
      <c r="AG131" s="38">
        <f>ROUND(IF(AQ131="2",BI131,0),2)</f>
        <v>0</v>
      </c>
      <c r="AH131" s="38">
        <f>ROUND(IF(AQ131="0",BJ131,0),2)</f>
        <v>0</v>
      </c>
      <c r="AI131" s="29" t="s">
        <v>388</v>
      </c>
      <c r="AJ131" s="38">
        <f>IF(AN131=0,J131,0)</f>
        <v>0</v>
      </c>
      <c r="AK131" s="38">
        <f>IF(AN131=12,J131,0)</f>
        <v>0</v>
      </c>
      <c r="AL131" s="38">
        <f>IF(AN131=21,J131,0)</f>
        <v>0</v>
      </c>
      <c r="AN131" s="38">
        <v>0</v>
      </c>
      <c r="AO131" s="38">
        <f>G131*0</f>
        <v>0</v>
      </c>
      <c r="AP131" s="38">
        <f>G131*(1-0)</f>
        <v>0</v>
      </c>
      <c r="AQ131" s="41" t="s">
        <v>56</v>
      </c>
      <c r="AV131" s="38">
        <f>ROUND(AW131+AX131,2)</f>
        <v>0</v>
      </c>
      <c r="AW131" s="38">
        <f>ROUND(F131*AO131,2)</f>
        <v>0</v>
      </c>
      <c r="AX131" s="38">
        <f>ROUND(F131*AP131,2)</f>
        <v>0</v>
      </c>
      <c r="AY131" s="41" t="s">
        <v>421</v>
      </c>
      <c r="AZ131" s="41" t="s">
        <v>422</v>
      </c>
      <c r="BA131" s="29" t="s">
        <v>395</v>
      </c>
      <c r="BC131" s="38">
        <f>AW131+AX131</f>
        <v>0</v>
      </c>
      <c r="BD131" s="38">
        <f>G131/(100-BE131)*100</f>
        <v>0</v>
      </c>
      <c r="BE131" s="38">
        <v>0</v>
      </c>
      <c r="BF131" s="38">
        <f>131</f>
        <v>131</v>
      </c>
      <c r="BH131" s="38">
        <f>F131*AO131</f>
        <v>0</v>
      </c>
      <c r="BI131" s="38">
        <f>F131*AP131</f>
        <v>0</v>
      </c>
      <c r="BJ131" s="38">
        <f>F131*G131</f>
        <v>0</v>
      </c>
      <c r="BK131" s="41" t="s">
        <v>65</v>
      </c>
      <c r="BL131" s="38">
        <v>60</v>
      </c>
      <c r="BW131" s="38">
        <v>0</v>
      </c>
      <c r="BX131" s="26" t="s">
        <v>420</v>
      </c>
    </row>
    <row r="132" spans="1:76" ht="14.4" x14ac:dyDescent="0.3">
      <c r="A132" s="34" t="s">
        <v>51</v>
      </c>
      <c r="B132" s="35" t="s">
        <v>270</v>
      </c>
      <c r="C132" s="78" t="s">
        <v>423</v>
      </c>
      <c r="D132" s="79"/>
      <c r="E132" s="36" t="s">
        <v>4</v>
      </c>
      <c r="F132" s="36" t="s">
        <v>4</v>
      </c>
      <c r="G132" s="25" t="s">
        <v>4</v>
      </c>
      <c r="H132" s="24">
        <f>SUM(H133:H135)</f>
        <v>0</v>
      </c>
      <c r="I132" s="24">
        <f>SUM(I133:I135)</f>
        <v>0</v>
      </c>
      <c r="J132" s="24">
        <f>SUM(J133:J135)</f>
        <v>0</v>
      </c>
      <c r="K132" s="37" t="s">
        <v>51</v>
      </c>
      <c r="AI132" s="29" t="s">
        <v>388</v>
      </c>
      <c r="AS132" s="24">
        <f>SUM(AJ133:AJ135)</f>
        <v>0</v>
      </c>
      <c r="AT132" s="24">
        <f>SUM(AK133:AK135)</f>
        <v>0</v>
      </c>
      <c r="AU132" s="24">
        <f>SUM(AL133:AL135)</f>
        <v>0</v>
      </c>
    </row>
    <row r="133" spans="1:76" ht="14.4" x14ac:dyDescent="0.3">
      <c r="A133" s="17" t="s">
        <v>282</v>
      </c>
      <c r="B133" s="18" t="s">
        <v>424</v>
      </c>
      <c r="C133" s="61" t="s">
        <v>425</v>
      </c>
      <c r="D133" s="58"/>
      <c r="E133" s="18" t="s">
        <v>392</v>
      </c>
      <c r="F133" s="38">
        <v>0.77600000000000002</v>
      </c>
      <c r="G133" s="39">
        <v>0</v>
      </c>
      <c r="H133" s="38">
        <f>ROUND(F133*AO133,2)</f>
        <v>0</v>
      </c>
      <c r="I133" s="38">
        <f>ROUND(F133*AP133,2)</f>
        <v>0</v>
      </c>
      <c r="J133" s="38">
        <f>ROUND(F133*G133,2)</f>
        <v>0</v>
      </c>
      <c r="K133" s="40" t="s">
        <v>51</v>
      </c>
      <c r="Z133" s="38">
        <f>ROUND(IF(AQ133="5",BJ133,0),2)</f>
        <v>0</v>
      </c>
      <c r="AB133" s="38">
        <f>ROUND(IF(AQ133="1",BH133,0),2)</f>
        <v>0</v>
      </c>
      <c r="AC133" s="38">
        <f>ROUND(IF(AQ133="1",BI133,0),2)</f>
        <v>0</v>
      </c>
      <c r="AD133" s="38">
        <f>ROUND(IF(AQ133="7",BH133,0),2)</f>
        <v>0</v>
      </c>
      <c r="AE133" s="38">
        <f>ROUND(IF(AQ133="7",BI133,0),2)</f>
        <v>0</v>
      </c>
      <c r="AF133" s="38">
        <f>ROUND(IF(AQ133="2",BH133,0),2)</f>
        <v>0</v>
      </c>
      <c r="AG133" s="38">
        <f>ROUND(IF(AQ133="2",BI133,0),2)</f>
        <v>0</v>
      </c>
      <c r="AH133" s="38">
        <f>ROUND(IF(AQ133="0",BJ133,0),2)</f>
        <v>0</v>
      </c>
      <c r="AI133" s="29" t="s">
        <v>388</v>
      </c>
      <c r="AJ133" s="38">
        <f>IF(AN133=0,J133,0)</f>
        <v>0</v>
      </c>
      <c r="AK133" s="38">
        <f>IF(AN133=12,J133,0)</f>
        <v>0</v>
      </c>
      <c r="AL133" s="38">
        <f>IF(AN133=21,J133,0)</f>
        <v>0</v>
      </c>
      <c r="AN133" s="38">
        <v>0</v>
      </c>
      <c r="AO133" s="38">
        <f>G133*0</f>
        <v>0</v>
      </c>
      <c r="AP133" s="38">
        <f>G133*(1-0)</f>
        <v>0</v>
      </c>
      <c r="AQ133" s="41" t="s">
        <v>56</v>
      </c>
      <c r="AV133" s="38">
        <f>ROUND(AW133+AX133,2)</f>
        <v>0</v>
      </c>
      <c r="AW133" s="38">
        <f>ROUND(F133*AO133,2)</f>
        <v>0</v>
      </c>
      <c r="AX133" s="38">
        <f>ROUND(F133*AP133,2)</f>
        <v>0</v>
      </c>
      <c r="AY133" s="41" t="s">
        <v>426</v>
      </c>
      <c r="AZ133" s="41" t="s">
        <v>422</v>
      </c>
      <c r="BA133" s="29" t="s">
        <v>395</v>
      </c>
      <c r="BC133" s="38">
        <f>AW133+AX133</f>
        <v>0</v>
      </c>
      <c r="BD133" s="38">
        <f>G133/(100-BE133)*100</f>
        <v>0</v>
      </c>
      <c r="BE133" s="38">
        <v>0</v>
      </c>
      <c r="BF133" s="38">
        <f>133</f>
        <v>133</v>
      </c>
      <c r="BH133" s="38">
        <f>F133*AO133</f>
        <v>0</v>
      </c>
      <c r="BI133" s="38">
        <f>F133*AP133</f>
        <v>0</v>
      </c>
      <c r="BJ133" s="38">
        <f>F133*G133</f>
        <v>0</v>
      </c>
      <c r="BK133" s="41" t="s">
        <v>65</v>
      </c>
      <c r="BL133" s="38">
        <v>63</v>
      </c>
      <c r="BW133" s="38">
        <v>0</v>
      </c>
      <c r="BX133" s="26" t="s">
        <v>425</v>
      </c>
    </row>
    <row r="134" spans="1:76" ht="14.4" x14ac:dyDescent="0.3">
      <c r="A134" s="17" t="s">
        <v>427</v>
      </c>
      <c r="B134" s="18" t="s">
        <v>428</v>
      </c>
      <c r="C134" s="61" t="s">
        <v>429</v>
      </c>
      <c r="D134" s="58"/>
      <c r="E134" s="18" t="s">
        <v>392</v>
      </c>
      <c r="F134" s="38">
        <v>0.192</v>
      </c>
      <c r="G134" s="39">
        <v>0</v>
      </c>
      <c r="H134" s="38">
        <f>ROUND(F134*AO134,2)</f>
        <v>0</v>
      </c>
      <c r="I134" s="38">
        <f>ROUND(F134*AP134,2)</f>
        <v>0</v>
      </c>
      <c r="J134" s="38">
        <f>ROUND(F134*G134,2)</f>
        <v>0</v>
      </c>
      <c r="K134" s="40" t="s">
        <v>51</v>
      </c>
      <c r="Z134" s="38">
        <f>ROUND(IF(AQ134="5",BJ134,0),2)</f>
        <v>0</v>
      </c>
      <c r="AB134" s="38">
        <f>ROUND(IF(AQ134="1",BH134,0),2)</f>
        <v>0</v>
      </c>
      <c r="AC134" s="38">
        <f>ROUND(IF(AQ134="1",BI134,0),2)</f>
        <v>0</v>
      </c>
      <c r="AD134" s="38">
        <f>ROUND(IF(AQ134="7",BH134,0),2)</f>
        <v>0</v>
      </c>
      <c r="AE134" s="38">
        <f>ROUND(IF(AQ134="7",BI134,0),2)</f>
        <v>0</v>
      </c>
      <c r="AF134" s="38">
        <f>ROUND(IF(AQ134="2",BH134,0),2)</f>
        <v>0</v>
      </c>
      <c r="AG134" s="38">
        <f>ROUND(IF(AQ134="2",BI134,0),2)</f>
        <v>0</v>
      </c>
      <c r="AH134" s="38">
        <f>ROUND(IF(AQ134="0",BJ134,0),2)</f>
        <v>0</v>
      </c>
      <c r="AI134" s="29" t="s">
        <v>388</v>
      </c>
      <c r="AJ134" s="38">
        <f>IF(AN134=0,J134,0)</f>
        <v>0</v>
      </c>
      <c r="AK134" s="38">
        <f>IF(AN134=12,J134,0)</f>
        <v>0</v>
      </c>
      <c r="AL134" s="38">
        <f>IF(AN134=21,J134,0)</f>
        <v>0</v>
      </c>
      <c r="AN134" s="38">
        <v>0</v>
      </c>
      <c r="AO134" s="38">
        <f>G134*0</f>
        <v>0</v>
      </c>
      <c r="AP134" s="38">
        <f>G134*(1-0)</f>
        <v>0</v>
      </c>
      <c r="AQ134" s="41" t="s">
        <v>56</v>
      </c>
      <c r="AV134" s="38">
        <f>ROUND(AW134+AX134,2)</f>
        <v>0</v>
      </c>
      <c r="AW134" s="38">
        <f>ROUND(F134*AO134,2)</f>
        <v>0</v>
      </c>
      <c r="AX134" s="38">
        <f>ROUND(F134*AP134,2)</f>
        <v>0</v>
      </c>
      <c r="AY134" s="41" t="s">
        <v>426</v>
      </c>
      <c r="AZ134" s="41" t="s">
        <v>422</v>
      </c>
      <c r="BA134" s="29" t="s">
        <v>395</v>
      </c>
      <c r="BC134" s="38">
        <f>AW134+AX134</f>
        <v>0</v>
      </c>
      <c r="BD134" s="38">
        <f>G134/(100-BE134)*100</f>
        <v>0</v>
      </c>
      <c r="BE134" s="38">
        <v>0</v>
      </c>
      <c r="BF134" s="38">
        <f>134</f>
        <v>134</v>
      </c>
      <c r="BH134" s="38">
        <f>F134*AO134</f>
        <v>0</v>
      </c>
      <c r="BI134" s="38">
        <f>F134*AP134</f>
        <v>0</v>
      </c>
      <c r="BJ134" s="38">
        <f>F134*G134</f>
        <v>0</v>
      </c>
      <c r="BK134" s="41" t="s">
        <v>65</v>
      </c>
      <c r="BL134" s="38">
        <v>63</v>
      </c>
      <c r="BW134" s="38">
        <v>0</v>
      </c>
      <c r="BX134" s="26" t="s">
        <v>429</v>
      </c>
    </row>
    <row r="135" spans="1:76" ht="14.4" x14ac:dyDescent="0.3">
      <c r="A135" s="17" t="s">
        <v>430</v>
      </c>
      <c r="B135" s="18" t="s">
        <v>431</v>
      </c>
      <c r="C135" s="61" t="s">
        <v>432</v>
      </c>
      <c r="D135" s="58"/>
      <c r="E135" s="18" t="s">
        <v>59</v>
      </c>
      <c r="F135" s="38">
        <v>1.92</v>
      </c>
      <c r="G135" s="39">
        <v>0</v>
      </c>
      <c r="H135" s="38">
        <f>ROUND(F135*AO135,2)</f>
        <v>0</v>
      </c>
      <c r="I135" s="38">
        <f>ROUND(F135*AP135,2)</f>
        <v>0</v>
      </c>
      <c r="J135" s="38">
        <f>ROUND(F135*G135,2)</f>
        <v>0</v>
      </c>
      <c r="K135" s="40" t="s">
        <v>51</v>
      </c>
      <c r="Z135" s="38">
        <f>ROUND(IF(AQ135="5",BJ135,0),2)</f>
        <v>0</v>
      </c>
      <c r="AB135" s="38">
        <f>ROUND(IF(AQ135="1",BH135,0),2)</f>
        <v>0</v>
      </c>
      <c r="AC135" s="38">
        <f>ROUND(IF(AQ135="1",BI135,0),2)</f>
        <v>0</v>
      </c>
      <c r="AD135" s="38">
        <f>ROUND(IF(AQ135="7",BH135,0),2)</f>
        <v>0</v>
      </c>
      <c r="AE135" s="38">
        <f>ROUND(IF(AQ135="7",BI135,0),2)</f>
        <v>0</v>
      </c>
      <c r="AF135" s="38">
        <f>ROUND(IF(AQ135="2",BH135,0),2)</f>
        <v>0</v>
      </c>
      <c r="AG135" s="38">
        <f>ROUND(IF(AQ135="2",BI135,0),2)</f>
        <v>0</v>
      </c>
      <c r="AH135" s="38">
        <f>ROUND(IF(AQ135="0",BJ135,0),2)</f>
        <v>0</v>
      </c>
      <c r="AI135" s="29" t="s">
        <v>388</v>
      </c>
      <c r="AJ135" s="38">
        <f>IF(AN135=0,J135,0)</f>
        <v>0</v>
      </c>
      <c r="AK135" s="38">
        <f>IF(AN135=12,J135,0)</f>
        <v>0</v>
      </c>
      <c r="AL135" s="38">
        <f>IF(AN135=21,J135,0)</f>
        <v>0</v>
      </c>
      <c r="AN135" s="38">
        <v>0</v>
      </c>
      <c r="AO135" s="38">
        <f>G135*0</f>
        <v>0</v>
      </c>
      <c r="AP135" s="38">
        <f>G135*(1-0)</f>
        <v>0</v>
      </c>
      <c r="AQ135" s="41" t="s">
        <v>56</v>
      </c>
      <c r="AV135" s="38">
        <f>ROUND(AW135+AX135,2)</f>
        <v>0</v>
      </c>
      <c r="AW135" s="38">
        <f>ROUND(F135*AO135,2)</f>
        <v>0</v>
      </c>
      <c r="AX135" s="38">
        <f>ROUND(F135*AP135,2)</f>
        <v>0</v>
      </c>
      <c r="AY135" s="41" t="s">
        <v>426</v>
      </c>
      <c r="AZ135" s="41" t="s">
        <v>422</v>
      </c>
      <c r="BA135" s="29" t="s">
        <v>395</v>
      </c>
      <c r="BC135" s="38">
        <f>AW135+AX135</f>
        <v>0</v>
      </c>
      <c r="BD135" s="38">
        <f>G135/(100-BE135)*100</f>
        <v>0</v>
      </c>
      <c r="BE135" s="38">
        <v>0</v>
      </c>
      <c r="BF135" s="38">
        <f>135</f>
        <v>135</v>
      </c>
      <c r="BH135" s="38">
        <f>F135*AO135</f>
        <v>0</v>
      </c>
      <c r="BI135" s="38">
        <f>F135*AP135</f>
        <v>0</v>
      </c>
      <c r="BJ135" s="38">
        <f>F135*G135</f>
        <v>0</v>
      </c>
      <c r="BK135" s="41" t="s">
        <v>65</v>
      </c>
      <c r="BL135" s="38">
        <v>63</v>
      </c>
      <c r="BW135" s="38">
        <v>0</v>
      </c>
      <c r="BX135" s="26" t="s">
        <v>432</v>
      </c>
    </row>
    <row r="136" spans="1:76" ht="14.4" x14ac:dyDescent="0.3">
      <c r="A136" s="34" t="s">
        <v>51</v>
      </c>
      <c r="B136" s="35" t="s">
        <v>433</v>
      </c>
      <c r="C136" s="78" t="s">
        <v>434</v>
      </c>
      <c r="D136" s="79"/>
      <c r="E136" s="36" t="s">
        <v>4</v>
      </c>
      <c r="F136" s="36" t="s">
        <v>4</v>
      </c>
      <c r="G136" s="25" t="s">
        <v>4</v>
      </c>
      <c r="H136" s="24">
        <f>SUM(H137:H139)</f>
        <v>0</v>
      </c>
      <c r="I136" s="24">
        <f>SUM(I137:I139)</f>
        <v>0</v>
      </c>
      <c r="J136" s="24">
        <f>SUM(J137:J139)</f>
        <v>0</v>
      </c>
      <c r="K136" s="37" t="s">
        <v>51</v>
      </c>
      <c r="AI136" s="29" t="s">
        <v>388</v>
      </c>
      <c r="AS136" s="24">
        <f>SUM(AJ137:AJ139)</f>
        <v>0</v>
      </c>
      <c r="AT136" s="24">
        <f>SUM(AK137:AK139)</f>
        <v>0</v>
      </c>
      <c r="AU136" s="24">
        <f>SUM(AL137:AL139)</f>
        <v>0</v>
      </c>
    </row>
    <row r="137" spans="1:76" ht="14.4" x14ac:dyDescent="0.3">
      <c r="A137" s="17" t="s">
        <v>435</v>
      </c>
      <c r="B137" s="18" t="s">
        <v>436</v>
      </c>
      <c r="C137" s="61" t="s">
        <v>437</v>
      </c>
      <c r="D137" s="58"/>
      <c r="E137" s="18" t="s">
        <v>59</v>
      </c>
      <c r="F137" s="38">
        <v>7</v>
      </c>
      <c r="G137" s="39">
        <v>0</v>
      </c>
      <c r="H137" s="38">
        <f>ROUND(F137*AO137,2)</f>
        <v>0</v>
      </c>
      <c r="I137" s="38">
        <f>ROUND(F137*AP137,2)</f>
        <v>0</v>
      </c>
      <c r="J137" s="38">
        <f>ROUND(F137*G137,2)</f>
        <v>0</v>
      </c>
      <c r="K137" s="40" t="s">
        <v>51</v>
      </c>
      <c r="Z137" s="38">
        <f>ROUND(IF(AQ137="5",BJ137,0),2)</f>
        <v>0</v>
      </c>
      <c r="AB137" s="38">
        <f>ROUND(IF(AQ137="1",BH137,0),2)</f>
        <v>0</v>
      </c>
      <c r="AC137" s="38">
        <f>ROUND(IF(AQ137="1",BI137,0),2)</f>
        <v>0</v>
      </c>
      <c r="AD137" s="38">
        <f>ROUND(IF(AQ137="7",BH137,0),2)</f>
        <v>0</v>
      </c>
      <c r="AE137" s="38">
        <f>ROUND(IF(AQ137="7",BI137,0),2)</f>
        <v>0</v>
      </c>
      <c r="AF137" s="38">
        <f>ROUND(IF(AQ137="2",BH137,0),2)</f>
        <v>0</v>
      </c>
      <c r="AG137" s="38">
        <f>ROUND(IF(AQ137="2",BI137,0),2)</f>
        <v>0</v>
      </c>
      <c r="AH137" s="38">
        <f>ROUND(IF(AQ137="0",BJ137,0),2)</f>
        <v>0</v>
      </c>
      <c r="AI137" s="29" t="s">
        <v>388</v>
      </c>
      <c r="AJ137" s="38">
        <f>IF(AN137=0,J137,0)</f>
        <v>0</v>
      </c>
      <c r="AK137" s="38">
        <f>IF(AN137=12,J137,0)</f>
        <v>0</v>
      </c>
      <c r="AL137" s="38">
        <f>IF(AN137=21,J137,0)</f>
        <v>0</v>
      </c>
      <c r="AN137" s="38">
        <v>0</v>
      </c>
      <c r="AO137" s="38">
        <f>G137*0</f>
        <v>0</v>
      </c>
      <c r="AP137" s="38">
        <f>G137*(1-0)</f>
        <v>0</v>
      </c>
      <c r="AQ137" s="41" t="s">
        <v>61</v>
      </c>
      <c r="AV137" s="38">
        <f>ROUND(AW137+AX137,2)</f>
        <v>0</v>
      </c>
      <c r="AW137" s="38">
        <f>ROUND(F137*AO137,2)</f>
        <v>0</v>
      </c>
      <c r="AX137" s="38">
        <f>ROUND(F137*AP137,2)</f>
        <v>0</v>
      </c>
      <c r="AY137" s="41" t="s">
        <v>438</v>
      </c>
      <c r="AZ137" s="41" t="s">
        <v>439</v>
      </c>
      <c r="BA137" s="29" t="s">
        <v>395</v>
      </c>
      <c r="BC137" s="38">
        <f>AW137+AX137</f>
        <v>0</v>
      </c>
      <c r="BD137" s="38">
        <f>G137/(100-BE137)*100</f>
        <v>0</v>
      </c>
      <c r="BE137" s="38">
        <v>0</v>
      </c>
      <c r="BF137" s="38">
        <f>137</f>
        <v>137</v>
      </c>
      <c r="BH137" s="38">
        <f>F137*AO137</f>
        <v>0</v>
      </c>
      <c r="BI137" s="38">
        <f>F137*AP137</f>
        <v>0</v>
      </c>
      <c r="BJ137" s="38">
        <f>F137*G137</f>
        <v>0</v>
      </c>
      <c r="BK137" s="41" t="s">
        <v>65</v>
      </c>
      <c r="BL137" s="38">
        <v>711</v>
      </c>
      <c r="BW137" s="38">
        <v>0</v>
      </c>
      <c r="BX137" s="26" t="s">
        <v>437</v>
      </c>
    </row>
    <row r="138" spans="1:76" ht="14.4" x14ac:dyDescent="0.3">
      <c r="A138" s="17" t="s">
        <v>440</v>
      </c>
      <c r="B138" s="18" t="s">
        <v>441</v>
      </c>
      <c r="C138" s="61" t="s">
        <v>442</v>
      </c>
      <c r="D138" s="58"/>
      <c r="E138" s="18" t="s">
        <v>59</v>
      </c>
      <c r="F138" s="38">
        <v>7</v>
      </c>
      <c r="G138" s="39">
        <v>0</v>
      </c>
      <c r="H138" s="38">
        <f>ROUND(F138*AO138,2)</f>
        <v>0</v>
      </c>
      <c r="I138" s="38">
        <f>ROUND(F138*AP138,2)</f>
        <v>0</v>
      </c>
      <c r="J138" s="38">
        <f>ROUND(F138*G138,2)</f>
        <v>0</v>
      </c>
      <c r="K138" s="40" t="s">
        <v>51</v>
      </c>
      <c r="Z138" s="38">
        <f>ROUND(IF(AQ138="5",BJ138,0),2)</f>
        <v>0</v>
      </c>
      <c r="AB138" s="38">
        <f>ROUND(IF(AQ138="1",BH138,0),2)</f>
        <v>0</v>
      </c>
      <c r="AC138" s="38">
        <f>ROUND(IF(AQ138="1",BI138,0),2)</f>
        <v>0</v>
      </c>
      <c r="AD138" s="38">
        <f>ROUND(IF(AQ138="7",BH138,0),2)</f>
        <v>0</v>
      </c>
      <c r="AE138" s="38">
        <f>ROUND(IF(AQ138="7",BI138,0),2)</f>
        <v>0</v>
      </c>
      <c r="AF138" s="38">
        <f>ROUND(IF(AQ138="2",BH138,0),2)</f>
        <v>0</v>
      </c>
      <c r="AG138" s="38">
        <f>ROUND(IF(AQ138="2",BI138,0),2)</f>
        <v>0</v>
      </c>
      <c r="AH138" s="38">
        <f>ROUND(IF(AQ138="0",BJ138,0),2)</f>
        <v>0</v>
      </c>
      <c r="AI138" s="29" t="s">
        <v>388</v>
      </c>
      <c r="AJ138" s="38">
        <f>IF(AN138=0,J138,0)</f>
        <v>0</v>
      </c>
      <c r="AK138" s="38">
        <f>IF(AN138=12,J138,0)</f>
        <v>0</v>
      </c>
      <c r="AL138" s="38">
        <f>IF(AN138=21,J138,0)</f>
        <v>0</v>
      </c>
      <c r="AN138" s="38">
        <v>0</v>
      </c>
      <c r="AO138" s="38">
        <f>G138*0</f>
        <v>0</v>
      </c>
      <c r="AP138" s="38">
        <f>G138*(1-0)</f>
        <v>0</v>
      </c>
      <c r="AQ138" s="41" t="s">
        <v>61</v>
      </c>
      <c r="AV138" s="38">
        <f>ROUND(AW138+AX138,2)</f>
        <v>0</v>
      </c>
      <c r="AW138" s="38">
        <f>ROUND(F138*AO138,2)</f>
        <v>0</v>
      </c>
      <c r="AX138" s="38">
        <f>ROUND(F138*AP138,2)</f>
        <v>0</v>
      </c>
      <c r="AY138" s="41" t="s">
        <v>438</v>
      </c>
      <c r="AZ138" s="41" t="s">
        <v>439</v>
      </c>
      <c r="BA138" s="29" t="s">
        <v>395</v>
      </c>
      <c r="BC138" s="38">
        <f>AW138+AX138</f>
        <v>0</v>
      </c>
      <c r="BD138" s="38">
        <f>G138/(100-BE138)*100</f>
        <v>0</v>
      </c>
      <c r="BE138" s="38">
        <v>0</v>
      </c>
      <c r="BF138" s="38">
        <f>138</f>
        <v>138</v>
      </c>
      <c r="BH138" s="38">
        <f>F138*AO138</f>
        <v>0</v>
      </c>
      <c r="BI138" s="38">
        <f>F138*AP138</f>
        <v>0</v>
      </c>
      <c r="BJ138" s="38">
        <f>F138*G138</f>
        <v>0</v>
      </c>
      <c r="BK138" s="41" t="s">
        <v>65</v>
      </c>
      <c r="BL138" s="38">
        <v>711</v>
      </c>
      <c r="BW138" s="38">
        <v>0</v>
      </c>
      <c r="BX138" s="26" t="s">
        <v>442</v>
      </c>
    </row>
    <row r="139" spans="1:76" ht="14.4" x14ac:dyDescent="0.3">
      <c r="A139" s="17" t="s">
        <v>443</v>
      </c>
      <c r="B139" s="18" t="s">
        <v>444</v>
      </c>
      <c r="C139" s="61" t="s">
        <v>445</v>
      </c>
      <c r="D139" s="58"/>
      <c r="E139" s="18" t="s">
        <v>59</v>
      </c>
      <c r="F139" s="38">
        <v>7</v>
      </c>
      <c r="G139" s="39">
        <v>0</v>
      </c>
      <c r="H139" s="38">
        <f>ROUND(F139*AO139,2)</f>
        <v>0</v>
      </c>
      <c r="I139" s="38">
        <f>ROUND(F139*AP139,2)</f>
        <v>0</v>
      </c>
      <c r="J139" s="38">
        <f>ROUND(F139*G139,2)</f>
        <v>0</v>
      </c>
      <c r="K139" s="40" t="s">
        <v>51</v>
      </c>
      <c r="Z139" s="38">
        <f>ROUND(IF(AQ139="5",BJ139,0),2)</f>
        <v>0</v>
      </c>
      <c r="AB139" s="38">
        <f>ROUND(IF(AQ139="1",BH139,0),2)</f>
        <v>0</v>
      </c>
      <c r="AC139" s="38">
        <f>ROUND(IF(AQ139="1",BI139,0),2)</f>
        <v>0</v>
      </c>
      <c r="AD139" s="38">
        <f>ROUND(IF(AQ139="7",BH139,0),2)</f>
        <v>0</v>
      </c>
      <c r="AE139" s="38">
        <f>ROUND(IF(AQ139="7",BI139,0),2)</f>
        <v>0</v>
      </c>
      <c r="AF139" s="38">
        <f>ROUND(IF(AQ139="2",BH139,0),2)</f>
        <v>0</v>
      </c>
      <c r="AG139" s="38">
        <f>ROUND(IF(AQ139="2",BI139,0),2)</f>
        <v>0</v>
      </c>
      <c r="AH139" s="38">
        <f>ROUND(IF(AQ139="0",BJ139,0),2)</f>
        <v>0</v>
      </c>
      <c r="AI139" s="29" t="s">
        <v>388</v>
      </c>
      <c r="AJ139" s="38">
        <f>IF(AN139=0,J139,0)</f>
        <v>0</v>
      </c>
      <c r="AK139" s="38">
        <f>IF(AN139=12,J139,0)</f>
        <v>0</v>
      </c>
      <c r="AL139" s="38">
        <f>IF(AN139=21,J139,0)</f>
        <v>0</v>
      </c>
      <c r="AN139" s="38">
        <v>0</v>
      </c>
      <c r="AO139" s="38">
        <f>G139*0</f>
        <v>0</v>
      </c>
      <c r="AP139" s="38">
        <f>G139*(1-0)</f>
        <v>0</v>
      </c>
      <c r="AQ139" s="41" t="s">
        <v>61</v>
      </c>
      <c r="AV139" s="38">
        <f>ROUND(AW139+AX139,2)</f>
        <v>0</v>
      </c>
      <c r="AW139" s="38">
        <f>ROUND(F139*AO139,2)</f>
        <v>0</v>
      </c>
      <c r="AX139" s="38">
        <f>ROUND(F139*AP139,2)</f>
        <v>0</v>
      </c>
      <c r="AY139" s="41" t="s">
        <v>438</v>
      </c>
      <c r="AZ139" s="41" t="s">
        <v>439</v>
      </c>
      <c r="BA139" s="29" t="s">
        <v>395</v>
      </c>
      <c r="BC139" s="38">
        <f>AW139+AX139</f>
        <v>0</v>
      </c>
      <c r="BD139" s="38">
        <f>G139/(100-BE139)*100</f>
        <v>0</v>
      </c>
      <c r="BE139" s="38">
        <v>0</v>
      </c>
      <c r="BF139" s="38">
        <f>139</f>
        <v>139</v>
      </c>
      <c r="BH139" s="38">
        <f>F139*AO139</f>
        <v>0</v>
      </c>
      <c r="BI139" s="38">
        <f>F139*AP139</f>
        <v>0</v>
      </c>
      <c r="BJ139" s="38">
        <f>F139*G139</f>
        <v>0</v>
      </c>
      <c r="BK139" s="41" t="s">
        <v>65</v>
      </c>
      <c r="BL139" s="38">
        <v>711</v>
      </c>
      <c r="BW139" s="38">
        <v>0</v>
      </c>
      <c r="BX139" s="26" t="s">
        <v>445</v>
      </c>
    </row>
    <row r="140" spans="1:76" ht="14.4" x14ac:dyDescent="0.3">
      <c r="A140" s="34" t="s">
        <v>51</v>
      </c>
      <c r="B140" s="35" t="s">
        <v>228</v>
      </c>
      <c r="C140" s="78" t="s">
        <v>229</v>
      </c>
      <c r="D140" s="79"/>
      <c r="E140" s="36" t="s">
        <v>4</v>
      </c>
      <c r="F140" s="36" t="s">
        <v>4</v>
      </c>
      <c r="G140" s="25" t="s">
        <v>4</v>
      </c>
      <c r="H140" s="24">
        <f>SUM(H141:H141)</f>
        <v>0</v>
      </c>
      <c r="I140" s="24">
        <f>SUM(I141:I141)</f>
        <v>0</v>
      </c>
      <c r="J140" s="24">
        <f>SUM(J141:J141)</f>
        <v>0</v>
      </c>
      <c r="K140" s="37" t="s">
        <v>51</v>
      </c>
      <c r="AI140" s="29" t="s">
        <v>388</v>
      </c>
      <c r="AS140" s="24">
        <f>SUM(AJ141:AJ141)</f>
        <v>0</v>
      </c>
      <c r="AT140" s="24">
        <f>SUM(AK141:AK141)</f>
        <v>0</v>
      </c>
      <c r="AU140" s="24">
        <f>SUM(AL141:AL141)</f>
        <v>0</v>
      </c>
    </row>
    <row r="141" spans="1:76" ht="14.4" x14ac:dyDescent="0.3">
      <c r="A141" s="17" t="s">
        <v>446</v>
      </c>
      <c r="B141" s="18" t="s">
        <v>447</v>
      </c>
      <c r="C141" s="61" t="s">
        <v>448</v>
      </c>
      <c r="D141" s="58"/>
      <c r="E141" s="18" t="s">
        <v>133</v>
      </c>
      <c r="F141" s="38">
        <v>4</v>
      </c>
      <c r="G141" s="39">
        <v>0</v>
      </c>
      <c r="H141" s="38">
        <f>ROUND(F141*AO141,2)</f>
        <v>0</v>
      </c>
      <c r="I141" s="38">
        <f>ROUND(F141*AP141,2)</f>
        <v>0</v>
      </c>
      <c r="J141" s="38">
        <f>ROUND(F141*G141,2)</f>
        <v>0</v>
      </c>
      <c r="K141" s="40" t="s">
        <v>51</v>
      </c>
      <c r="Z141" s="38">
        <f>ROUND(IF(AQ141="5",BJ141,0),2)</f>
        <v>0</v>
      </c>
      <c r="AB141" s="38">
        <f>ROUND(IF(AQ141="1",BH141,0),2)</f>
        <v>0</v>
      </c>
      <c r="AC141" s="38">
        <f>ROUND(IF(AQ141="1",BI141,0),2)</f>
        <v>0</v>
      </c>
      <c r="AD141" s="38">
        <f>ROUND(IF(AQ141="7",BH141,0),2)</f>
        <v>0</v>
      </c>
      <c r="AE141" s="38">
        <f>ROUND(IF(AQ141="7",BI141,0),2)</f>
        <v>0</v>
      </c>
      <c r="AF141" s="38">
        <f>ROUND(IF(AQ141="2",BH141,0),2)</f>
        <v>0</v>
      </c>
      <c r="AG141" s="38">
        <f>ROUND(IF(AQ141="2",BI141,0),2)</f>
        <v>0</v>
      </c>
      <c r="AH141" s="38">
        <f>ROUND(IF(AQ141="0",BJ141,0),2)</f>
        <v>0</v>
      </c>
      <c r="AI141" s="29" t="s">
        <v>388</v>
      </c>
      <c r="AJ141" s="38">
        <f>IF(AN141=0,J141,0)</f>
        <v>0</v>
      </c>
      <c r="AK141" s="38">
        <f>IF(AN141=12,J141,0)</f>
        <v>0</v>
      </c>
      <c r="AL141" s="38">
        <f>IF(AN141=21,J141,0)</f>
        <v>0</v>
      </c>
      <c r="AN141" s="38">
        <v>0</v>
      </c>
      <c r="AO141" s="38">
        <f>G141*0</f>
        <v>0</v>
      </c>
      <c r="AP141" s="38">
        <f>G141*(1-0)</f>
        <v>0</v>
      </c>
      <c r="AQ141" s="41" t="s">
        <v>61</v>
      </c>
      <c r="AV141" s="38">
        <f>ROUND(AW141+AX141,2)</f>
        <v>0</v>
      </c>
      <c r="AW141" s="38">
        <f>ROUND(F141*AO141,2)</f>
        <v>0</v>
      </c>
      <c r="AX141" s="38">
        <f>ROUND(F141*AP141,2)</f>
        <v>0</v>
      </c>
      <c r="AY141" s="41" t="s">
        <v>233</v>
      </c>
      <c r="AZ141" s="41" t="s">
        <v>449</v>
      </c>
      <c r="BA141" s="29" t="s">
        <v>395</v>
      </c>
      <c r="BC141" s="38">
        <f>AW141+AX141</f>
        <v>0</v>
      </c>
      <c r="BD141" s="38">
        <f>G141/(100-BE141)*100</f>
        <v>0</v>
      </c>
      <c r="BE141" s="38">
        <v>0</v>
      </c>
      <c r="BF141" s="38">
        <f>141</f>
        <v>141</v>
      </c>
      <c r="BH141" s="38">
        <f>F141*AO141</f>
        <v>0</v>
      </c>
      <c r="BI141" s="38">
        <f>F141*AP141</f>
        <v>0</v>
      </c>
      <c r="BJ141" s="38">
        <f>F141*G141</f>
        <v>0</v>
      </c>
      <c r="BK141" s="41" t="s">
        <v>65</v>
      </c>
      <c r="BL141" s="38">
        <v>732</v>
      </c>
      <c r="BW141" s="38">
        <v>0</v>
      </c>
      <c r="BX141" s="26" t="s">
        <v>448</v>
      </c>
    </row>
    <row r="142" spans="1:76" ht="14.4" x14ac:dyDescent="0.3">
      <c r="A142" s="34" t="s">
        <v>51</v>
      </c>
      <c r="B142" s="35" t="s">
        <v>450</v>
      </c>
      <c r="C142" s="78" t="s">
        <v>451</v>
      </c>
      <c r="D142" s="79"/>
      <c r="E142" s="36" t="s">
        <v>4</v>
      </c>
      <c r="F142" s="36" t="s">
        <v>4</v>
      </c>
      <c r="G142" s="25" t="s">
        <v>4</v>
      </c>
      <c r="H142" s="24">
        <f>SUM(H143:H143)</f>
        <v>0</v>
      </c>
      <c r="I142" s="24">
        <f>SUM(I143:I143)</f>
        <v>0</v>
      </c>
      <c r="J142" s="24">
        <f>SUM(J143:J143)</f>
        <v>0</v>
      </c>
      <c r="K142" s="37" t="s">
        <v>51</v>
      </c>
      <c r="AI142" s="29" t="s">
        <v>388</v>
      </c>
      <c r="AS142" s="24">
        <f>SUM(AJ143:AJ143)</f>
        <v>0</v>
      </c>
      <c r="AT142" s="24">
        <f>SUM(AK143:AK143)</f>
        <v>0</v>
      </c>
      <c r="AU142" s="24">
        <f>SUM(AL143:AL143)</f>
        <v>0</v>
      </c>
    </row>
    <row r="143" spans="1:76" ht="14.4" x14ac:dyDescent="0.3">
      <c r="A143" s="17" t="s">
        <v>452</v>
      </c>
      <c r="B143" s="18" t="s">
        <v>453</v>
      </c>
      <c r="C143" s="61" t="s">
        <v>454</v>
      </c>
      <c r="D143" s="58"/>
      <c r="E143" s="18" t="s">
        <v>455</v>
      </c>
      <c r="F143" s="38">
        <v>15</v>
      </c>
      <c r="G143" s="39">
        <v>0</v>
      </c>
      <c r="H143" s="38">
        <f>ROUND(F143*AO143,2)</f>
        <v>0</v>
      </c>
      <c r="I143" s="38">
        <f>ROUND(F143*AP143,2)</f>
        <v>0</v>
      </c>
      <c r="J143" s="38">
        <f>ROUND(F143*G143,2)</f>
        <v>0</v>
      </c>
      <c r="K143" s="40" t="s">
        <v>51</v>
      </c>
      <c r="Z143" s="38">
        <f>ROUND(IF(AQ143="5",BJ143,0),2)</f>
        <v>0</v>
      </c>
      <c r="AB143" s="38">
        <f>ROUND(IF(AQ143="1",BH143,0),2)</f>
        <v>0</v>
      </c>
      <c r="AC143" s="38">
        <f>ROUND(IF(AQ143="1",BI143,0),2)</f>
        <v>0</v>
      </c>
      <c r="AD143" s="38">
        <f>ROUND(IF(AQ143="7",BH143,0),2)</f>
        <v>0</v>
      </c>
      <c r="AE143" s="38">
        <f>ROUND(IF(AQ143="7",BI143,0),2)</f>
        <v>0</v>
      </c>
      <c r="AF143" s="38">
        <f>ROUND(IF(AQ143="2",BH143,0),2)</f>
        <v>0</v>
      </c>
      <c r="AG143" s="38">
        <f>ROUND(IF(AQ143="2",BI143,0),2)</f>
        <v>0</v>
      </c>
      <c r="AH143" s="38">
        <f>ROUND(IF(AQ143="0",BJ143,0),2)</f>
        <v>0</v>
      </c>
      <c r="AI143" s="29" t="s">
        <v>388</v>
      </c>
      <c r="AJ143" s="38">
        <f>IF(AN143=0,J143,0)</f>
        <v>0</v>
      </c>
      <c r="AK143" s="38">
        <f>IF(AN143=12,J143,0)</f>
        <v>0</v>
      </c>
      <c r="AL143" s="38">
        <f>IF(AN143=21,J143,0)</f>
        <v>0</v>
      </c>
      <c r="AN143" s="38">
        <v>0</v>
      </c>
      <c r="AO143" s="38">
        <f>G143*0</f>
        <v>0</v>
      </c>
      <c r="AP143" s="38">
        <f>G143*(1-0)</f>
        <v>0</v>
      </c>
      <c r="AQ143" s="41" t="s">
        <v>61</v>
      </c>
      <c r="AV143" s="38">
        <f>ROUND(AW143+AX143,2)</f>
        <v>0</v>
      </c>
      <c r="AW143" s="38">
        <f>ROUND(F143*AO143,2)</f>
        <v>0</v>
      </c>
      <c r="AX143" s="38">
        <f>ROUND(F143*AP143,2)</f>
        <v>0</v>
      </c>
      <c r="AY143" s="41" t="s">
        <v>456</v>
      </c>
      <c r="AZ143" s="41" t="s">
        <v>457</v>
      </c>
      <c r="BA143" s="29" t="s">
        <v>395</v>
      </c>
      <c r="BC143" s="38">
        <f>AW143+AX143</f>
        <v>0</v>
      </c>
      <c r="BD143" s="38">
        <f>G143/(100-BE143)*100</f>
        <v>0</v>
      </c>
      <c r="BE143" s="38">
        <v>0</v>
      </c>
      <c r="BF143" s="38">
        <f>143</f>
        <v>143</v>
      </c>
      <c r="BH143" s="38">
        <f>F143*AO143</f>
        <v>0</v>
      </c>
      <c r="BI143" s="38">
        <f>F143*AP143</f>
        <v>0</v>
      </c>
      <c r="BJ143" s="38">
        <f>F143*G143</f>
        <v>0</v>
      </c>
      <c r="BK143" s="41" t="s">
        <v>65</v>
      </c>
      <c r="BL143" s="38">
        <v>767</v>
      </c>
      <c r="BW143" s="38">
        <v>0</v>
      </c>
      <c r="BX143" s="26" t="s">
        <v>454</v>
      </c>
    </row>
    <row r="144" spans="1:76" ht="14.4" x14ac:dyDescent="0.3">
      <c r="A144" s="34" t="s">
        <v>51</v>
      </c>
      <c r="B144" s="35" t="s">
        <v>458</v>
      </c>
      <c r="C144" s="78" t="s">
        <v>459</v>
      </c>
      <c r="D144" s="79"/>
      <c r="E144" s="36" t="s">
        <v>4</v>
      </c>
      <c r="F144" s="36" t="s">
        <v>4</v>
      </c>
      <c r="G144" s="25" t="s">
        <v>4</v>
      </c>
      <c r="H144" s="24">
        <f>SUM(H145:H145)</f>
        <v>0</v>
      </c>
      <c r="I144" s="24">
        <f>SUM(I145:I145)</f>
        <v>0</v>
      </c>
      <c r="J144" s="24">
        <f>SUM(J145:J145)</f>
        <v>0</v>
      </c>
      <c r="K144" s="37" t="s">
        <v>51</v>
      </c>
      <c r="AI144" s="29" t="s">
        <v>388</v>
      </c>
      <c r="AS144" s="24">
        <f>SUM(AJ145:AJ145)</f>
        <v>0</v>
      </c>
      <c r="AT144" s="24">
        <f>SUM(AK145:AK145)</f>
        <v>0</v>
      </c>
      <c r="AU144" s="24">
        <f>SUM(AL145:AL145)</f>
        <v>0</v>
      </c>
    </row>
    <row r="145" spans="1:76" ht="14.4" x14ac:dyDescent="0.3">
      <c r="A145" s="17" t="s">
        <v>460</v>
      </c>
      <c r="B145" s="18" t="s">
        <v>461</v>
      </c>
      <c r="C145" s="61" t="s">
        <v>462</v>
      </c>
      <c r="D145" s="58"/>
      <c r="E145" s="18" t="s">
        <v>59</v>
      </c>
      <c r="F145" s="38">
        <v>9.1999999999999993</v>
      </c>
      <c r="G145" s="39">
        <v>0</v>
      </c>
      <c r="H145" s="38">
        <f>ROUND(F145*AO145,2)</f>
        <v>0</v>
      </c>
      <c r="I145" s="38">
        <f>ROUND(F145*AP145,2)</f>
        <v>0</v>
      </c>
      <c r="J145" s="38">
        <f>ROUND(F145*G145,2)</f>
        <v>0</v>
      </c>
      <c r="K145" s="40" t="s">
        <v>51</v>
      </c>
      <c r="Z145" s="38">
        <f>ROUND(IF(AQ145="5",BJ145,0),2)</f>
        <v>0</v>
      </c>
      <c r="AB145" s="38">
        <f>ROUND(IF(AQ145="1",BH145,0),2)</f>
        <v>0</v>
      </c>
      <c r="AC145" s="38">
        <f>ROUND(IF(AQ145="1",BI145,0),2)</f>
        <v>0</v>
      </c>
      <c r="AD145" s="38">
        <f>ROUND(IF(AQ145="7",BH145,0),2)</f>
        <v>0</v>
      </c>
      <c r="AE145" s="38">
        <f>ROUND(IF(AQ145="7",BI145,0),2)</f>
        <v>0</v>
      </c>
      <c r="AF145" s="38">
        <f>ROUND(IF(AQ145="2",BH145,0),2)</f>
        <v>0</v>
      </c>
      <c r="AG145" s="38">
        <f>ROUND(IF(AQ145="2",BI145,0),2)</f>
        <v>0</v>
      </c>
      <c r="AH145" s="38">
        <f>ROUND(IF(AQ145="0",BJ145,0),2)</f>
        <v>0</v>
      </c>
      <c r="AI145" s="29" t="s">
        <v>388</v>
      </c>
      <c r="AJ145" s="38">
        <f>IF(AN145=0,J145,0)</f>
        <v>0</v>
      </c>
      <c r="AK145" s="38">
        <f>IF(AN145=12,J145,0)</f>
        <v>0</v>
      </c>
      <c r="AL145" s="38">
        <f>IF(AN145=21,J145,0)</f>
        <v>0</v>
      </c>
      <c r="AN145" s="38">
        <v>0</v>
      </c>
      <c r="AO145" s="38">
        <f>G145*0</f>
        <v>0</v>
      </c>
      <c r="AP145" s="38">
        <f>G145*(1-0)</f>
        <v>0</v>
      </c>
      <c r="AQ145" s="41" t="s">
        <v>61</v>
      </c>
      <c r="AV145" s="38">
        <f>ROUND(AW145+AX145,2)</f>
        <v>0</v>
      </c>
      <c r="AW145" s="38">
        <f>ROUND(F145*AO145,2)</f>
        <v>0</v>
      </c>
      <c r="AX145" s="38">
        <f>ROUND(F145*AP145,2)</f>
        <v>0</v>
      </c>
      <c r="AY145" s="41" t="s">
        <v>463</v>
      </c>
      <c r="AZ145" s="41" t="s">
        <v>464</v>
      </c>
      <c r="BA145" s="29" t="s">
        <v>395</v>
      </c>
      <c r="BC145" s="38">
        <f>AW145+AX145</f>
        <v>0</v>
      </c>
      <c r="BD145" s="38">
        <f>G145/(100-BE145)*100</f>
        <v>0</v>
      </c>
      <c r="BE145" s="38">
        <v>0</v>
      </c>
      <c r="BF145" s="38">
        <f>145</f>
        <v>145</v>
      </c>
      <c r="BH145" s="38">
        <f>F145*AO145</f>
        <v>0</v>
      </c>
      <c r="BI145" s="38">
        <f>F145*AP145</f>
        <v>0</v>
      </c>
      <c r="BJ145" s="38">
        <f>F145*G145</f>
        <v>0</v>
      </c>
      <c r="BK145" s="41" t="s">
        <v>65</v>
      </c>
      <c r="BL145" s="38">
        <v>777</v>
      </c>
      <c r="BW145" s="38">
        <v>0</v>
      </c>
      <c r="BX145" s="26" t="s">
        <v>462</v>
      </c>
    </row>
    <row r="146" spans="1:76" ht="14.4" x14ac:dyDescent="0.3">
      <c r="A146" s="34" t="s">
        <v>51</v>
      </c>
      <c r="B146" s="35" t="s">
        <v>465</v>
      </c>
      <c r="C146" s="78" t="s">
        <v>466</v>
      </c>
      <c r="D146" s="79"/>
      <c r="E146" s="36" t="s">
        <v>4</v>
      </c>
      <c r="F146" s="36" t="s">
        <v>4</v>
      </c>
      <c r="G146" s="25" t="s">
        <v>4</v>
      </c>
      <c r="H146" s="24">
        <f>SUM(H147:H148)</f>
        <v>0</v>
      </c>
      <c r="I146" s="24">
        <f>SUM(I147:I148)</f>
        <v>0</v>
      </c>
      <c r="J146" s="24">
        <f>SUM(J147:J148)</f>
        <v>0</v>
      </c>
      <c r="K146" s="37" t="s">
        <v>51</v>
      </c>
      <c r="AI146" s="29" t="s">
        <v>388</v>
      </c>
      <c r="AS146" s="24">
        <f>SUM(AJ147:AJ148)</f>
        <v>0</v>
      </c>
      <c r="AT146" s="24">
        <f>SUM(AK147:AK148)</f>
        <v>0</v>
      </c>
      <c r="AU146" s="24">
        <f>SUM(AL147:AL148)</f>
        <v>0</v>
      </c>
    </row>
    <row r="147" spans="1:76" ht="14.4" x14ac:dyDescent="0.3">
      <c r="A147" s="17" t="s">
        <v>467</v>
      </c>
      <c r="B147" s="18" t="s">
        <v>468</v>
      </c>
      <c r="C147" s="61" t="s">
        <v>469</v>
      </c>
      <c r="D147" s="58"/>
      <c r="E147" s="18" t="s">
        <v>59</v>
      </c>
      <c r="F147" s="38">
        <v>2</v>
      </c>
      <c r="G147" s="39">
        <v>0</v>
      </c>
      <c r="H147" s="38">
        <f>ROUND(F147*AO147,2)</f>
        <v>0</v>
      </c>
      <c r="I147" s="38">
        <f>ROUND(F147*AP147,2)</f>
        <v>0</v>
      </c>
      <c r="J147" s="38">
        <f>ROUND(F147*G147,2)</f>
        <v>0</v>
      </c>
      <c r="K147" s="40" t="s">
        <v>51</v>
      </c>
      <c r="Z147" s="38">
        <f>ROUND(IF(AQ147="5",BJ147,0),2)</f>
        <v>0</v>
      </c>
      <c r="AB147" s="38">
        <f>ROUND(IF(AQ147="1",BH147,0),2)</f>
        <v>0</v>
      </c>
      <c r="AC147" s="38">
        <f>ROUND(IF(AQ147="1",BI147,0),2)</f>
        <v>0</v>
      </c>
      <c r="AD147" s="38">
        <f>ROUND(IF(AQ147="7",BH147,0),2)</f>
        <v>0</v>
      </c>
      <c r="AE147" s="38">
        <f>ROUND(IF(AQ147="7",BI147,0),2)</f>
        <v>0</v>
      </c>
      <c r="AF147" s="38">
        <f>ROUND(IF(AQ147="2",BH147,0),2)</f>
        <v>0</v>
      </c>
      <c r="AG147" s="38">
        <f>ROUND(IF(AQ147="2",BI147,0),2)</f>
        <v>0</v>
      </c>
      <c r="AH147" s="38">
        <f>ROUND(IF(AQ147="0",BJ147,0),2)</f>
        <v>0</v>
      </c>
      <c r="AI147" s="29" t="s">
        <v>388</v>
      </c>
      <c r="AJ147" s="38">
        <f>IF(AN147=0,J147,0)</f>
        <v>0</v>
      </c>
      <c r="AK147" s="38">
        <f>IF(AN147=12,J147,0)</f>
        <v>0</v>
      </c>
      <c r="AL147" s="38">
        <f>IF(AN147=21,J147,0)</f>
        <v>0</v>
      </c>
      <c r="AN147" s="38">
        <v>0</v>
      </c>
      <c r="AO147" s="38">
        <f>G147*0</f>
        <v>0</v>
      </c>
      <c r="AP147" s="38">
        <f>G147*(1-0)</f>
        <v>0</v>
      </c>
      <c r="AQ147" s="41" t="s">
        <v>61</v>
      </c>
      <c r="AV147" s="38">
        <f>ROUND(AW147+AX147,2)</f>
        <v>0</v>
      </c>
      <c r="AW147" s="38">
        <f>ROUND(F147*AO147,2)</f>
        <v>0</v>
      </c>
      <c r="AX147" s="38">
        <f>ROUND(F147*AP147,2)</f>
        <v>0</v>
      </c>
      <c r="AY147" s="41" t="s">
        <v>470</v>
      </c>
      <c r="AZ147" s="41" t="s">
        <v>471</v>
      </c>
      <c r="BA147" s="29" t="s">
        <v>395</v>
      </c>
      <c r="BC147" s="38">
        <f>AW147+AX147</f>
        <v>0</v>
      </c>
      <c r="BD147" s="38">
        <f>G147/(100-BE147)*100</f>
        <v>0</v>
      </c>
      <c r="BE147" s="38">
        <v>0</v>
      </c>
      <c r="BF147" s="38">
        <f>147</f>
        <v>147</v>
      </c>
      <c r="BH147" s="38">
        <f>F147*AO147</f>
        <v>0</v>
      </c>
      <c r="BI147" s="38">
        <f>F147*AP147</f>
        <v>0</v>
      </c>
      <c r="BJ147" s="38">
        <f>F147*G147</f>
        <v>0</v>
      </c>
      <c r="BK147" s="41" t="s">
        <v>65</v>
      </c>
      <c r="BL147" s="38">
        <v>783</v>
      </c>
      <c r="BW147" s="38">
        <v>0</v>
      </c>
      <c r="BX147" s="26" t="s">
        <v>469</v>
      </c>
    </row>
    <row r="148" spans="1:76" ht="14.4" x14ac:dyDescent="0.3">
      <c r="A148" s="17" t="s">
        <v>472</v>
      </c>
      <c r="B148" s="18" t="s">
        <v>473</v>
      </c>
      <c r="C148" s="61" t="s">
        <v>474</v>
      </c>
      <c r="D148" s="58"/>
      <c r="E148" s="18" t="s">
        <v>59</v>
      </c>
      <c r="F148" s="38">
        <v>9.1999999999999993</v>
      </c>
      <c r="G148" s="39">
        <v>0</v>
      </c>
      <c r="H148" s="38">
        <f>ROUND(F148*AO148,2)</f>
        <v>0</v>
      </c>
      <c r="I148" s="38">
        <f>ROUND(F148*AP148,2)</f>
        <v>0</v>
      </c>
      <c r="J148" s="38">
        <f>ROUND(F148*G148,2)</f>
        <v>0</v>
      </c>
      <c r="K148" s="40" t="s">
        <v>51</v>
      </c>
      <c r="Z148" s="38">
        <f>ROUND(IF(AQ148="5",BJ148,0),2)</f>
        <v>0</v>
      </c>
      <c r="AB148" s="38">
        <f>ROUND(IF(AQ148="1",BH148,0),2)</f>
        <v>0</v>
      </c>
      <c r="AC148" s="38">
        <f>ROUND(IF(AQ148="1",BI148,0),2)</f>
        <v>0</v>
      </c>
      <c r="AD148" s="38">
        <f>ROUND(IF(AQ148="7",BH148,0),2)</f>
        <v>0</v>
      </c>
      <c r="AE148" s="38">
        <f>ROUND(IF(AQ148="7",BI148,0),2)</f>
        <v>0</v>
      </c>
      <c r="AF148" s="38">
        <f>ROUND(IF(AQ148="2",BH148,0),2)</f>
        <v>0</v>
      </c>
      <c r="AG148" s="38">
        <f>ROUND(IF(AQ148="2",BI148,0),2)</f>
        <v>0</v>
      </c>
      <c r="AH148" s="38">
        <f>ROUND(IF(AQ148="0",BJ148,0),2)</f>
        <v>0</v>
      </c>
      <c r="AI148" s="29" t="s">
        <v>388</v>
      </c>
      <c r="AJ148" s="38">
        <f>IF(AN148=0,J148,0)</f>
        <v>0</v>
      </c>
      <c r="AK148" s="38">
        <f>IF(AN148=12,J148,0)</f>
        <v>0</v>
      </c>
      <c r="AL148" s="38">
        <f>IF(AN148=21,J148,0)</f>
        <v>0</v>
      </c>
      <c r="AN148" s="38">
        <v>0</v>
      </c>
      <c r="AO148" s="38">
        <f>G148*0</f>
        <v>0</v>
      </c>
      <c r="AP148" s="38">
        <f>G148*(1-0)</f>
        <v>0</v>
      </c>
      <c r="AQ148" s="41" t="s">
        <v>61</v>
      </c>
      <c r="AV148" s="38">
        <f>ROUND(AW148+AX148,2)</f>
        <v>0</v>
      </c>
      <c r="AW148" s="38">
        <f>ROUND(F148*AO148,2)</f>
        <v>0</v>
      </c>
      <c r="AX148" s="38">
        <f>ROUND(F148*AP148,2)</f>
        <v>0</v>
      </c>
      <c r="AY148" s="41" t="s">
        <v>470</v>
      </c>
      <c r="AZ148" s="41" t="s">
        <v>471</v>
      </c>
      <c r="BA148" s="29" t="s">
        <v>395</v>
      </c>
      <c r="BC148" s="38">
        <f>AW148+AX148</f>
        <v>0</v>
      </c>
      <c r="BD148" s="38">
        <f>G148/(100-BE148)*100</f>
        <v>0</v>
      </c>
      <c r="BE148" s="38">
        <v>0</v>
      </c>
      <c r="BF148" s="38">
        <f>148</f>
        <v>148</v>
      </c>
      <c r="BH148" s="38">
        <f>F148*AO148</f>
        <v>0</v>
      </c>
      <c r="BI148" s="38">
        <f>F148*AP148</f>
        <v>0</v>
      </c>
      <c r="BJ148" s="38">
        <f>F148*G148</f>
        <v>0</v>
      </c>
      <c r="BK148" s="41" t="s">
        <v>65</v>
      </c>
      <c r="BL148" s="38">
        <v>783</v>
      </c>
      <c r="BW148" s="38">
        <v>0</v>
      </c>
      <c r="BX148" s="26" t="s">
        <v>474</v>
      </c>
    </row>
    <row r="149" spans="1:76" ht="14.4" x14ac:dyDescent="0.3">
      <c r="A149" s="34" t="s">
        <v>51</v>
      </c>
      <c r="B149" s="35" t="s">
        <v>340</v>
      </c>
      <c r="C149" s="78" t="s">
        <v>341</v>
      </c>
      <c r="D149" s="79"/>
      <c r="E149" s="36" t="s">
        <v>4</v>
      </c>
      <c r="F149" s="36" t="s">
        <v>4</v>
      </c>
      <c r="G149" s="25" t="s">
        <v>4</v>
      </c>
      <c r="H149" s="24">
        <f>SUM(H150:H151)</f>
        <v>0</v>
      </c>
      <c r="I149" s="24">
        <f>SUM(I150:I151)</f>
        <v>0</v>
      </c>
      <c r="J149" s="24">
        <f>SUM(J150:J151)</f>
        <v>0</v>
      </c>
      <c r="K149" s="37" t="s">
        <v>51</v>
      </c>
      <c r="AI149" s="29" t="s">
        <v>388</v>
      </c>
      <c r="AS149" s="24">
        <f>SUM(AJ150:AJ151)</f>
        <v>0</v>
      </c>
      <c r="AT149" s="24">
        <f>SUM(AK150:AK151)</f>
        <v>0</v>
      </c>
      <c r="AU149" s="24">
        <f>SUM(AL150:AL151)</f>
        <v>0</v>
      </c>
    </row>
    <row r="150" spans="1:76" ht="14.4" x14ac:dyDescent="0.3">
      <c r="A150" s="17" t="s">
        <v>475</v>
      </c>
      <c r="B150" s="18" t="s">
        <v>476</v>
      </c>
      <c r="C150" s="61" t="s">
        <v>477</v>
      </c>
      <c r="D150" s="58"/>
      <c r="E150" s="18" t="s">
        <v>59</v>
      </c>
      <c r="F150" s="38">
        <v>9.1999999999999993</v>
      </c>
      <c r="G150" s="39">
        <v>0</v>
      </c>
      <c r="H150" s="38">
        <f>ROUND(F150*AO150,2)</f>
        <v>0</v>
      </c>
      <c r="I150" s="38">
        <f>ROUND(F150*AP150,2)</f>
        <v>0</v>
      </c>
      <c r="J150" s="38">
        <f>ROUND(F150*G150,2)</f>
        <v>0</v>
      </c>
      <c r="K150" s="40" t="s">
        <v>51</v>
      </c>
      <c r="Z150" s="38">
        <f>ROUND(IF(AQ150="5",BJ150,0),2)</f>
        <v>0</v>
      </c>
      <c r="AB150" s="38">
        <f>ROUND(IF(AQ150="1",BH150,0),2)</f>
        <v>0</v>
      </c>
      <c r="AC150" s="38">
        <f>ROUND(IF(AQ150="1",BI150,0),2)</f>
        <v>0</v>
      </c>
      <c r="AD150" s="38">
        <f>ROUND(IF(AQ150="7",BH150,0),2)</f>
        <v>0</v>
      </c>
      <c r="AE150" s="38">
        <f>ROUND(IF(AQ150="7",BI150,0),2)</f>
        <v>0</v>
      </c>
      <c r="AF150" s="38">
        <f>ROUND(IF(AQ150="2",BH150,0),2)</f>
        <v>0</v>
      </c>
      <c r="AG150" s="38">
        <f>ROUND(IF(AQ150="2",BI150,0),2)</f>
        <v>0</v>
      </c>
      <c r="AH150" s="38">
        <f>ROUND(IF(AQ150="0",BJ150,0),2)</f>
        <v>0</v>
      </c>
      <c r="AI150" s="29" t="s">
        <v>388</v>
      </c>
      <c r="AJ150" s="38">
        <f>IF(AN150=0,J150,0)</f>
        <v>0</v>
      </c>
      <c r="AK150" s="38">
        <f>IF(AN150=12,J150,0)</f>
        <v>0</v>
      </c>
      <c r="AL150" s="38">
        <f>IF(AN150=21,J150,0)</f>
        <v>0</v>
      </c>
      <c r="AN150" s="38">
        <v>0</v>
      </c>
      <c r="AO150" s="38">
        <f>G150*0</f>
        <v>0</v>
      </c>
      <c r="AP150" s="38">
        <f>G150*(1-0)</f>
        <v>0</v>
      </c>
      <c r="AQ150" s="41" t="s">
        <v>56</v>
      </c>
      <c r="AV150" s="38">
        <f>ROUND(AW150+AX150,2)</f>
        <v>0</v>
      </c>
      <c r="AW150" s="38">
        <f>ROUND(F150*AO150,2)</f>
        <v>0</v>
      </c>
      <c r="AX150" s="38">
        <f>ROUND(F150*AP150,2)</f>
        <v>0</v>
      </c>
      <c r="AY150" s="41" t="s">
        <v>345</v>
      </c>
      <c r="AZ150" s="41" t="s">
        <v>478</v>
      </c>
      <c r="BA150" s="29" t="s">
        <v>395</v>
      </c>
      <c r="BC150" s="38">
        <f>AW150+AX150</f>
        <v>0</v>
      </c>
      <c r="BD150" s="38">
        <f>G150/(100-BE150)*100</f>
        <v>0</v>
      </c>
      <c r="BE150" s="38">
        <v>0</v>
      </c>
      <c r="BF150" s="38">
        <f>150</f>
        <v>150</v>
      </c>
      <c r="BH150" s="38">
        <f>F150*AO150</f>
        <v>0</v>
      </c>
      <c r="BI150" s="38">
        <f>F150*AP150</f>
        <v>0</v>
      </c>
      <c r="BJ150" s="38">
        <f>F150*G150</f>
        <v>0</v>
      </c>
      <c r="BK150" s="41" t="s">
        <v>65</v>
      </c>
      <c r="BL150" s="38">
        <v>95</v>
      </c>
      <c r="BW150" s="38">
        <v>0</v>
      </c>
      <c r="BX150" s="26" t="s">
        <v>477</v>
      </c>
    </row>
    <row r="151" spans="1:76" ht="14.4" x14ac:dyDescent="0.3">
      <c r="A151" s="17" t="s">
        <v>479</v>
      </c>
      <c r="B151" s="18" t="s">
        <v>480</v>
      </c>
      <c r="C151" s="61" t="s">
        <v>481</v>
      </c>
      <c r="D151" s="58"/>
      <c r="E151" s="18" t="s">
        <v>59</v>
      </c>
      <c r="F151" s="38">
        <v>50</v>
      </c>
      <c r="G151" s="39">
        <v>0</v>
      </c>
      <c r="H151" s="38">
        <f>ROUND(F151*AO151,2)</f>
        <v>0</v>
      </c>
      <c r="I151" s="38">
        <f>ROUND(F151*AP151,2)</f>
        <v>0</v>
      </c>
      <c r="J151" s="38">
        <f>ROUND(F151*G151,2)</f>
        <v>0</v>
      </c>
      <c r="K151" s="40" t="s">
        <v>51</v>
      </c>
      <c r="Z151" s="38">
        <f>ROUND(IF(AQ151="5",BJ151,0),2)</f>
        <v>0</v>
      </c>
      <c r="AB151" s="38">
        <f>ROUND(IF(AQ151="1",BH151,0),2)</f>
        <v>0</v>
      </c>
      <c r="AC151" s="38">
        <f>ROUND(IF(AQ151="1",BI151,0),2)</f>
        <v>0</v>
      </c>
      <c r="AD151" s="38">
        <f>ROUND(IF(AQ151="7",BH151,0),2)</f>
        <v>0</v>
      </c>
      <c r="AE151" s="38">
        <f>ROUND(IF(AQ151="7",BI151,0),2)</f>
        <v>0</v>
      </c>
      <c r="AF151" s="38">
        <f>ROUND(IF(AQ151="2",BH151,0),2)</f>
        <v>0</v>
      </c>
      <c r="AG151" s="38">
        <f>ROUND(IF(AQ151="2",BI151,0),2)</f>
        <v>0</v>
      </c>
      <c r="AH151" s="38">
        <f>ROUND(IF(AQ151="0",BJ151,0),2)</f>
        <v>0</v>
      </c>
      <c r="AI151" s="29" t="s">
        <v>388</v>
      </c>
      <c r="AJ151" s="38">
        <f>IF(AN151=0,J151,0)</f>
        <v>0</v>
      </c>
      <c r="AK151" s="38">
        <f>IF(AN151=12,J151,0)</f>
        <v>0</v>
      </c>
      <c r="AL151" s="38">
        <f>IF(AN151=21,J151,0)</f>
        <v>0</v>
      </c>
      <c r="AN151" s="38">
        <v>0</v>
      </c>
      <c r="AO151" s="38">
        <f>G151*0</f>
        <v>0</v>
      </c>
      <c r="AP151" s="38">
        <f>G151*(1-0)</f>
        <v>0</v>
      </c>
      <c r="AQ151" s="41" t="s">
        <v>56</v>
      </c>
      <c r="AV151" s="38">
        <f>ROUND(AW151+AX151,2)</f>
        <v>0</v>
      </c>
      <c r="AW151" s="38">
        <f>ROUND(F151*AO151,2)</f>
        <v>0</v>
      </c>
      <c r="AX151" s="38">
        <f>ROUND(F151*AP151,2)</f>
        <v>0</v>
      </c>
      <c r="AY151" s="41" t="s">
        <v>345</v>
      </c>
      <c r="AZ151" s="41" t="s">
        <v>478</v>
      </c>
      <c r="BA151" s="29" t="s">
        <v>395</v>
      </c>
      <c r="BC151" s="38">
        <f>AW151+AX151</f>
        <v>0</v>
      </c>
      <c r="BD151" s="38">
        <f>G151/(100-BE151)*100</f>
        <v>0</v>
      </c>
      <c r="BE151" s="38">
        <v>0</v>
      </c>
      <c r="BF151" s="38">
        <f>151</f>
        <v>151</v>
      </c>
      <c r="BH151" s="38">
        <f>F151*AO151</f>
        <v>0</v>
      </c>
      <c r="BI151" s="38">
        <f>F151*AP151</f>
        <v>0</v>
      </c>
      <c r="BJ151" s="38">
        <f>F151*G151</f>
        <v>0</v>
      </c>
      <c r="BK151" s="41" t="s">
        <v>65</v>
      </c>
      <c r="BL151" s="38">
        <v>95</v>
      </c>
      <c r="BW151" s="38">
        <v>0</v>
      </c>
      <c r="BX151" s="26" t="s">
        <v>481</v>
      </c>
    </row>
    <row r="152" spans="1:76" ht="14.4" x14ac:dyDescent="0.3">
      <c r="A152" s="34" t="s">
        <v>51</v>
      </c>
      <c r="B152" s="35" t="s">
        <v>410</v>
      </c>
      <c r="C152" s="78" t="s">
        <v>482</v>
      </c>
      <c r="D152" s="79"/>
      <c r="E152" s="36" t="s">
        <v>4</v>
      </c>
      <c r="F152" s="36" t="s">
        <v>4</v>
      </c>
      <c r="G152" s="25" t="s">
        <v>4</v>
      </c>
      <c r="H152" s="24">
        <f>SUM(H153:H153)</f>
        <v>0</v>
      </c>
      <c r="I152" s="24">
        <f>SUM(I153:I153)</f>
        <v>0</v>
      </c>
      <c r="J152" s="24">
        <f>SUM(J153:J153)</f>
        <v>0</v>
      </c>
      <c r="K152" s="37" t="s">
        <v>51</v>
      </c>
      <c r="AI152" s="29" t="s">
        <v>388</v>
      </c>
      <c r="AS152" s="24">
        <f>SUM(AJ153:AJ153)</f>
        <v>0</v>
      </c>
      <c r="AT152" s="24">
        <f>SUM(AK153:AK153)</f>
        <v>0</v>
      </c>
      <c r="AU152" s="24">
        <f>SUM(AL153:AL153)</f>
        <v>0</v>
      </c>
    </row>
    <row r="153" spans="1:76" ht="14.4" x14ac:dyDescent="0.3">
      <c r="A153" s="17" t="s">
        <v>483</v>
      </c>
      <c r="B153" s="18" t="s">
        <v>484</v>
      </c>
      <c r="C153" s="61" t="s">
        <v>485</v>
      </c>
      <c r="D153" s="58"/>
      <c r="E153" s="18" t="s">
        <v>392</v>
      </c>
      <c r="F153" s="38">
        <v>0.39200000000000002</v>
      </c>
      <c r="G153" s="39">
        <v>0</v>
      </c>
      <c r="H153" s="38">
        <f>ROUND(F153*AO153,2)</f>
        <v>0</v>
      </c>
      <c r="I153" s="38">
        <f>ROUND(F153*AP153,2)</f>
        <v>0</v>
      </c>
      <c r="J153" s="38">
        <f>ROUND(F153*G153,2)</f>
        <v>0</v>
      </c>
      <c r="K153" s="40" t="s">
        <v>51</v>
      </c>
      <c r="Z153" s="38">
        <f>ROUND(IF(AQ153="5",BJ153,0),2)</f>
        <v>0</v>
      </c>
      <c r="AB153" s="38">
        <f>ROUND(IF(AQ153="1",BH153,0),2)</f>
        <v>0</v>
      </c>
      <c r="AC153" s="38">
        <f>ROUND(IF(AQ153="1",BI153,0),2)</f>
        <v>0</v>
      </c>
      <c r="AD153" s="38">
        <f>ROUND(IF(AQ153="7",BH153,0),2)</f>
        <v>0</v>
      </c>
      <c r="AE153" s="38">
        <f>ROUND(IF(AQ153="7",BI153,0),2)</f>
        <v>0</v>
      </c>
      <c r="AF153" s="38">
        <f>ROUND(IF(AQ153="2",BH153,0),2)</f>
        <v>0</v>
      </c>
      <c r="AG153" s="38">
        <f>ROUND(IF(AQ153="2",BI153,0),2)</f>
        <v>0</v>
      </c>
      <c r="AH153" s="38">
        <f>ROUND(IF(AQ153="0",BJ153,0),2)</f>
        <v>0</v>
      </c>
      <c r="AI153" s="29" t="s">
        <v>388</v>
      </c>
      <c r="AJ153" s="38">
        <f>IF(AN153=0,J153,0)</f>
        <v>0</v>
      </c>
      <c r="AK153" s="38">
        <f>IF(AN153=12,J153,0)</f>
        <v>0</v>
      </c>
      <c r="AL153" s="38">
        <f>IF(AN153=21,J153,0)</f>
        <v>0</v>
      </c>
      <c r="AN153" s="38">
        <v>0</v>
      </c>
      <c r="AO153" s="38">
        <f>G153*0</f>
        <v>0</v>
      </c>
      <c r="AP153" s="38">
        <f>G153*(1-0)</f>
        <v>0</v>
      </c>
      <c r="AQ153" s="41" t="s">
        <v>56</v>
      </c>
      <c r="AV153" s="38">
        <f>ROUND(AW153+AX153,2)</f>
        <v>0</v>
      </c>
      <c r="AW153" s="38">
        <f>ROUND(F153*AO153,2)</f>
        <v>0</v>
      </c>
      <c r="AX153" s="38">
        <f>ROUND(F153*AP153,2)</f>
        <v>0</v>
      </c>
      <c r="AY153" s="41" t="s">
        <v>486</v>
      </c>
      <c r="AZ153" s="41" t="s">
        <v>478</v>
      </c>
      <c r="BA153" s="29" t="s">
        <v>395</v>
      </c>
      <c r="BC153" s="38">
        <f>AW153+AX153</f>
        <v>0</v>
      </c>
      <c r="BD153" s="38">
        <f>G153/(100-BE153)*100</f>
        <v>0</v>
      </c>
      <c r="BE153" s="38">
        <v>0</v>
      </c>
      <c r="BF153" s="38">
        <f>153</f>
        <v>153</v>
      </c>
      <c r="BH153" s="38">
        <f>F153*AO153</f>
        <v>0</v>
      </c>
      <c r="BI153" s="38">
        <f>F153*AP153</f>
        <v>0</v>
      </c>
      <c r="BJ153" s="38">
        <f>F153*G153</f>
        <v>0</v>
      </c>
      <c r="BK153" s="41" t="s">
        <v>65</v>
      </c>
      <c r="BL153" s="38">
        <v>96</v>
      </c>
      <c r="BW153" s="38">
        <v>0</v>
      </c>
      <c r="BX153" s="26" t="s">
        <v>485</v>
      </c>
    </row>
    <row r="154" spans="1:76" ht="14.4" x14ac:dyDescent="0.3">
      <c r="A154" s="34" t="s">
        <v>51</v>
      </c>
      <c r="B154" s="35" t="s">
        <v>347</v>
      </c>
      <c r="C154" s="78" t="s">
        <v>348</v>
      </c>
      <c r="D154" s="79"/>
      <c r="E154" s="36" t="s">
        <v>4</v>
      </c>
      <c r="F154" s="36" t="s">
        <v>4</v>
      </c>
      <c r="G154" s="25" t="s">
        <v>4</v>
      </c>
      <c r="H154" s="24">
        <f>SUM(H155:H157)</f>
        <v>0</v>
      </c>
      <c r="I154" s="24">
        <f>SUM(I155:I157)</f>
        <v>0</v>
      </c>
      <c r="J154" s="24">
        <f>SUM(J155:J157)</f>
        <v>0</v>
      </c>
      <c r="K154" s="37" t="s">
        <v>51</v>
      </c>
      <c r="AI154" s="29" t="s">
        <v>388</v>
      </c>
      <c r="AS154" s="24">
        <f>SUM(AJ155:AJ157)</f>
        <v>0</v>
      </c>
      <c r="AT154" s="24">
        <f>SUM(AK155:AK157)</f>
        <v>0</v>
      </c>
      <c r="AU154" s="24">
        <f>SUM(AL155:AL157)</f>
        <v>0</v>
      </c>
    </row>
    <row r="155" spans="1:76" ht="14.4" x14ac:dyDescent="0.3">
      <c r="A155" s="17" t="s">
        <v>487</v>
      </c>
      <c r="B155" s="18" t="s">
        <v>488</v>
      </c>
      <c r="C155" s="61" t="s">
        <v>351</v>
      </c>
      <c r="D155" s="58"/>
      <c r="E155" s="18" t="s">
        <v>69</v>
      </c>
      <c r="F155" s="38">
        <v>0.6</v>
      </c>
      <c r="G155" s="39">
        <v>0</v>
      </c>
      <c r="H155" s="38">
        <f>ROUND(F155*AO155,2)</f>
        <v>0</v>
      </c>
      <c r="I155" s="38">
        <f>ROUND(F155*AP155,2)</f>
        <v>0</v>
      </c>
      <c r="J155" s="38">
        <f>ROUND(F155*G155,2)</f>
        <v>0</v>
      </c>
      <c r="K155" s="40" t="s">
        <v>51</v>
      </c>
      <c r="Z155" s="38">
        <f>ROUND(IF(AQ155="5",BJ155,0),2)</f>
        <v>0</v>
      </c>
      <c r="AB155" s="38">
        <f>ROUND(IF(AQ155="1",BH155,0),2)</f>
        <v>0</v>
      </c>
      <c r="AC155" s="38">
        <f>ROUND(IF(AQ155="1",BI155,0),2)</f>
        <v>0</v>
      </c>
      <c r="AD155" s="38">
        <f>ROUND(IF(AQ155="7",BH155,0),2)</f>
        <v>0</v>
      </c>
      <c r="AE155" s="38">
        <f>ROUND(IF(AQ155="7",BI155,0),2)</f>
        <v>0</v>
      </c>
      <c r="AF155" s="38">
        <f>ROUND(IF(AQ155="2",BH155,0),2)</f>
        <v>0</v>
      </c>
      <c r="AG155" s="38">
        <f>ROUND(IF(AQ155="2",BI155,0),2)</f>
        <v>0</v>
      </c>
      <c r="AH155" s="38">
        <f>ROUND(IF(AQ155="0",BJ155,0),2)</f>
        <v>0</v>
      </c>
      <c r="AI155" s="29" t="s">
        <v>388</v>
      </c>
      <c r="AJ155" s="38">
        <f>IF(AN155=0,J155,0)</f>
        <v>0</v>
      </c>
      <c r="AK155" s="38">
        <f>IF(AN155=12,J155,0)</f>
        <v>0</v>
      </c>
      <c r="AL155" s="38">
        <f>IF(AN155=21,J155,0)</f>
        <v>0</v>
      </c>
      <c r="AN155" s="38">
        <v>0</v>
      </c>
      <c r="AO155" s="38">
        <f>G155*0</f>
        <v>0</v>
      </c>
      <c r="AP155" s="38">
        <f>G155*(1-0)</f>
        <v>0</v>
      </c>
      <c r="AQ155" s="41" t="s">
        <v>56</v>
      </c>
      <c r="AV155" s="38">
        <f>ROUND(AW155+AX155,2)</f>
        <v>0</v>
      </c>
      <c r="AW155" s="38">
        <f>ROUND(F155*AO155,2)</f>
        <v>0</v>
      </c>
      <c r="AX155" s="38">
        <f>ROUND(F155*AP155,2)</f>
        <v>0</v>
      </c>
      <c r="AY155" s="41" t="s">
        <v>352</v>
      </c>
      <c r="AZ155" s="41" t="s">
        <v>478</v>
      </c>
      <c r="BA155" s="29" t="s">
        <v>395</v>
      </c>
      <c r="BC155" s="38">
        <f>AW155+AX155</f>
        <v>0</v>
      </c>
      <c r="BD155" s="38">
        <f>G155/(100-BE155)*100</f>
        <v>0</v>
      </c>
      <c r="BE155" s="38">
        <v>0</v>
      </c>
      <c r="BF155" s="38">
        <f>155</f>
        <v>155</v>
      </c>
      <c r="BH155" s="38">
        <f>F155*AO155</f>
        <v>0</v>
      </c>
      <c r="BI155" s="38">
        <f>F155*AP155</f>
        <v>0</v>
      </c>
      <c r="BJ155" s="38">
        <f>F155*G155</f>
        <v>0</v>
      </c>
      <c r="BK155" s="41" t="s">
        <v>65</v>
      </c>
      <c r="BL155" s="38">
        <v>97</v>
      </c>
      <c r="BW155" s="38">
        <v>0</v>
      </c>
      <c r="BX155" s="26" t="s">
        <v>351</v>
      </c>
    </row>
    <row r="156" spans="1:76" ht="14.4" x14ac:dyDescent="0.3">
      <c r="A156" s="17" t="s">
        <v>489</v>
      </c>
      <c r="B156" s="18" t="s">
        <v>490</v>
      </c>
      <c r="C156" s="61" t="s">
        <v>491</v>
      </c>
      <c r="D156" s="58"/>
      <c r="E156" s="18" t="s">
        <v>69</v>
      </c>
      <c r="F156" s="38">
        <v>0.5</v>
      </c>
      <c r="G156" s="39">
        <v>0</v>
      </c>
      <c r="H156" s="38">
        <f>ROUND(F156*AO156,2)</f>
        <v>0</v>
      </c>
      <c r="I156" s="38">
        <f>ROUND(F156*AP156,2)</f>
        <v>0</v>
      </c>
      <c r="J156" s="38">
        <f>ROUND(F156*G156,2)</f>
        <v>0</v>
      </c>
      <c r="K156" s="40" t="s">
        <v>51</v>
      </c>
      <c r="Z156" s="38">
        <f>ROUND(IF(AQ156="5",BJ156,0),2)</f>
        <v>0</v>
      </c>
      <c r="AB156" s="38">
        <f>ROUND(IF(AQ156="1",BH156,0),2)</f>
        <v>0</v>
      </c>
      <c r="AC156" s="38">
        <f>ROUND(IF(AQ156="1",BI156,0),2)</f>
        <v>0</v>
      </c>
      <c r="AD156" s="38">
        <f>ROUND(IF(AQ156="7",BH156,0),2)</f>
        <v>0</v>
      </c>
      <c r="AE156" s="38">
        <f>ROUND(IF(AQ156="7",BI156,0),2)</f>
        <v>0</v>
      </c>
      <c r="AF156" s="38">
        <f>ROUND(IF(AQ156="2",BH156,0),2)</f>
        <v>0</v>
      </c>
      <c r="AG156" s="38">
        <f>ROUND(IF(AQ156="2",BI156,0),2)</f>
        <v>0</v>
      </c>
      <c r="AH156" s="38">
        <f>ROUND(IF(AQ156="0",BJ156,0),2)</f>
        <v>0</v>
      </c>
      <c r="AI156" s="29" t="s">
        <v>388</v>
      </c>
      <c r="AJ156" s="38">
        <f>IF(AN156=0,J156,0)</f>
        <v>0</v>
      </c>
      <c r="AK156" s="38">
        <f>IF(AN156=12,J156,0)</f>
        <v>0</v>
      </c>
      <c r="AL156" s="38">
        <f>IF(AN156=21,J156,0)</f>
        <v>0</v>
      </c>
      <c r="AN156" s="38">
        <v>0</v>
      </c>
      <c r="AO156" s="38">
        <f>G156*0</f>
        <v>0</v>
      </c>
      <c r="AP156" s="38">
        <f>G156*(1-0)</f>
        <v>0</v>
      </c>
      <c r="AQ156" s="41" t="s">
        <v>56</v>
      </c>
      <c r="AV156" s="38">
        <f>ROUND(AW156+AX156,2)</f>
        <v>0</v>
      </c>
      <c r="AW156" s="38">
        <f>ROUND(F156*AO156,2)</f>
        <v>0</v>
      </c>
      <c r="AX156" s="38">
        <f>ROUND(F156*AP156,2)</f>
        <v>0</v>
      </c>
      <c r="AY156" s="41" t="s">
        <v>352</v>
      </c>
      <c r="AZ156" s="41" t="s">
        <v>478</v>
      </c>
      <c r="BA156" s="29" t="s">
        <v>395</v>
      </c>
      <c r="BC156" s="38">
        <f>AW156+AX156</f>
        <v>0</v>
      </c>
      <c r="BD156" s="38">
        <f>G156/(100-BE156)*100</f>
        <v>0</v>
      </c>
      <c r="BE156" s="38">
        <v>0</v>
      </c>
      <c r="BF156" s="38">
        <f>156</f>
        <v>156</v>
      </c>
      <c r="BH156" s="38">
        <f>F156*AO156</f>
        <v>0</v>
      </c>
      <c r="BI156" s="38">
        <f>F156*AP156</f>
        <v>0</v>
      </c>
      <c r="BJ156" s="38">
        <f>F156*G156</f>
        <v>0</v>
      </c>
      <c r="BK156" s="41" t="s">
        <v>65</v>
      </c>
      <c r="BL156" s="38">
        <v>97</v>
      </c>
      <c r="BW156" s="38">
        <v>0</v>
      </c>
      <c r="BX156" s="26" t="s">
        <v>491</v>
      </c>
    </row>
    <row r="157" spans="1:76" ht="14.4" x14ac:dyDescent="0.3">
      <c r="A157" s="17" t="s">
        <v>492</v>
      </c>
      <c r="B157" s="18" t="s">
        <v>493</v>
      </c>
      <c r="C157" s="61" t="s">
        <v>494</v>
      </c>
      <c r="D157" s="58"/>
      <c r="E157" s="18" t="s">
        <v>59</v>
      </c>
      <c r="F157" s="38">
        <v>5</v>
      </c>
      <c r="G157" s="39">
        <v>0</v>
      </c>
      <c r="H157" s="38">
        <f>ROUND(F157*AO157,2)</f>
        <v>0</v>
      </c>
      <c r="I157" s="38">
        <f>ROUND(F157*AP157,2)</f>
        <v>0</v>
      </c>
      <c r="J157" s="38">
        <f>ROUND(F157*G157,2)</f>
        <v>0</v>
      </c>
      <c r="K157" s="40" t="s">
        <v>51</v>
      </c>
      <c r="Z157" s="38">
        <f>ROUND(IF(AQ157="5",BJ157,0),2)</f>
        <v>0</v>
      </c>
      <c r="AB157" s="38">
        <f>ROUND(IF(AQ157="1",BH157,0),2)</f>
        <v>0</v>
      </c>
      <c r="AC157" s="38">
        <f>ROUND(IF(AQ157="1",BI157,0),2)</f>
        <v>0</v>
      </c>
      <c r="AD157" s="38">
        <f>ROUND(IF(AQ157="7",BH157,0),2)</f>
        <v>0</v>
      </c>
      <c r="AE157" s="38">
        <f>ROUND(IF(AQ157="7",BI157,0),2)</f>
        <v>0</v>
      </c>
      <c r="AF157" s="38">
        <f>ROUND(IF(AQ157="2",BH157,0),2)</f>
        <v>0</v>
      </c>
      <c r="AG157" s="38">
        <f>ROUND(IF(AQ157="2",BI157,0),2)</f>
        <v>0</v>
      </c>
      <c r="AH157" s="38">
        <f>ROUND(IF(AQ157="0",BJ157,0),2)</f>
        <v>0</v>
      </c>
      <c r="AI157" s="29" t="s">
        <v>388</v>
      </c>
      <c r="AJ157" s="38">
        <f>IF(AN157=0,J157,0)</f>
        <v>0</v>
      </c>
      <c r="AK157" s="38">
        <f>IF(AN157=12,J157,0)</f>
        <v>0</v>
      </c>
      <c r="AL157" s="38">
        <f>IF(AN157=21,J157,0)</f>
        <v>0</v>
      </c>
      <c r="AN157" s="38">
        <v>0</v>
      </c>
      <c r="AO157" s="38">
        <f>G157*0</f>
        <v>0</v>
      </c>
      <c r="AP157" s="38">
        <f>G157*(1-0)</f>
        <v>0</v>
      </c>
      <c r="AQ157" s="41" t="s">
        <v>56</v>
      </c>
      <c r="AV157" s="38">
        <f>ROUND(AW157+AX157,2)</f>
        <v>0</v>
      </c>
      <c r="AW157" s="38">
        <f>ROUND(F157*AO157,2)</f>
        <v>0</v>
      </c>
      <c r="AX157" s="38">
        <f>ROUND(F157*AP157,2)</f>
        <v>0</v>
      </c>
      <c r="AY157" s="41" t="s">
        <v>352</v>
      </c>
      <c r="AZ157" s="41" t="s">
        <v>478</v>
      </c>
      <c r="BA157" s="29" t="s">
        <v>395</v>
      </c>
      <c r="BC157" s="38">
        <f>AW157+AX157</f>
        <v>0</v>
      </c>
      <c r="BD157" s="38">
        <f>G157/(100-BE157)*100</f>
        <v>0</v>
      </c>
      <c r="BE157" s="38">
        <v>0</v>
      </c>
      <c r="BF157" s="38">
        <f>157</f>
        <v>157</v>
      </c>
      <c r="BH157" s="38">
        <f>F157*AO157</f>
        <v>0</v>
      </c>
      <c r="BI157" s="38">
        <f>F157*AP157</f>
        <v>0</v>
      </c>
      <c r="BJ157" s="38">
        <f>F157*G157</f>
        <v>0</v>
      </c>
      <c r="BK157" s="41" t="s">
        <v>65</v>
      </c>
      <c r="BL157" s="38">
        <v>97</v>
      </c>
      <c r="BW157" s="38">
        <v>0</v>
      </c>
      <c r="BX157" s="26" t="s">
        <v>494</v>
      </c>
    </row>
    <row r="158" spans="1:76" ht="14.4" x14ac:dyDescent="0.3">
      <c r="A158" s="34" t="s">
        <v>51</v>
      </c>
      <c r="B158" s="35" t="s">
        <v>368</v>
      </c>
      <c r="C158" s="78" t="s">
        <v>369</v>
      </c>
      <c r="D158" s="79"/>
      <c r="E158" s="36" t="s">
        <v>4</v>
      </c>
      <c r="F158" s="36" t="s">
        <v>4</v>
      </c>
      <c r="G158" s="25" t="s">
        <v>4</v>
      </c>
      <c r="H158" s="24">
        <f>SUM(H159:H164)</f>
        <v>0</v>
      </c>
      <c r="I158" s="24">
        <f>SUM(I159:I164)</f>
        <v>0</v>
      </c>
      <c r="J158" s="24">
        <f>SUM(J159:J164)</f>
        <v>0</v>
      </c>
      <c r="K158" s="37" t="s">
        <v>51</v>
      </c>
      <c r="AI158" s="29" t="s">
        <v>388</v>
      </c>
      <c r="AS158" s="24">
        <f>SUM(AJ159:AJ164)</f>
        <v>0</v>
      </c>
      <c r="AT158" s="24">
        <f>SUM(AK159:AK164)</f>
        <v>0</v>
      </c>
      <c r="AU158" s="24">
        <f>SUM(AL159:AL164)</f>
        <v>0</v>
      </c>
    </row>
    <row r="159" spans="1:76" ht="14.4" x14ac:dyDescent="0.3">
      <c r="A159" s="17" t="s">
        <v>495</v>
      </c>
      <c r="B159" s="18" t="s">
        <v>496</v>
      </c>
      <c r="C159" s="61" t="s">
        <v>497</v>
      </c>
      <c r="D159" s="58"/>
      <c r="E159" s="18" t="s">
        <v>112</v>
      </c>
      <c r="F159" s="38">
        <v>1.06358</v>
      </c>
      <c r="G159" s="39">
        <v>0</v>
      </c>
      <c r="H159" s="38">
        <f t="shared" ref="H159:H164" si="112">ROUND(F159*AO159,2)</f>
        <v>0</v>
      </c>
      <c r="I159" s="38">
        <f t="shared" ref="I159:I164" si="113">ROUND(F159*AP159,2)</f>
        <v>0</v>
      </c>
      <c r="J159" s="38">
        <f t="shared" ref="J159:J164" si="114">ROUND(F159*G159,2)</f>
        <v>0</v>
      </c>
      <c r="K159" s="40" t="s">
        <v>51</v>
      </c>
      <c r="Z159" s="38">
        <f t="shared" ref="Z159:Z164" si="115">ROUND(IF(AQ159="5",BJ159,0),2)</f>
        <v>0</v>
      </c>
      <c r="AB159" s="38">
        <f t="shared" ref="AB159:AB164" si="116">ROUND(IF(AQ159="1",BH159,0),2)</f>
        <v>0</v>
      </c>
      <c r="AC159" s="38">
        <f t="shared" ref="AC159:AC164" si="117">ROUND(IF(AQ159="1",BI159,0),2)</f>
        <v>0</v>
      </c>
      <c r="AD159" s="38">
        <f t="shared" ref="AD159:AD164" si="118">ROUND(IF(AQ159="7",BH159,0),2)</f>
        <v>0</v>
      </c>
      <c r="AE159" s="38">
        <f t="shared" ref="AE159:AE164" si="119">ROUND(IF(AQ159="7",BI159,0),2)</f>
        <v>0</v>
      </c>
      <c r="AF159" s="38">
        <f t="shared" ref="AF159:AF164" si="120">ROUND(IF(AQ159="2",BH159,0),2)</f>
        <v>0</v>
      </c>
      <c r="AG159" s="38">
        <f t="shared" ref="AG159:AG164" si="121">ROUND(IF(AQ159="2",BI159,0),2)</f>
        <v>0</v>
      </c>
      <c r="AH159" s="38">
        <f t="shared" ref="AH159:AH164" si="122">ROUND(IF(AQ159="0",BJ159,0),2)</f>
        <v>0</v>
      </c>
      <c r="AI159" s="29" t="s">
        <v>388</v>
      </c>
      <c r="AJ159" s="38">
        <f t="shared" ref="AJ159:AJ164" si="123">IF(AN159=0,J159,0)</f>
        <v>0</v>
      </c>
      <c r="AK159" s="38">
        <f t="shared" ref="AK159:AK164" si="124">IF(AN159=12,J159,0)</f>
        <v>0</v>
      </c>
      <c r="AL159" s="38">
        <f t="shared" ref="AL159:AL164" si="125">IF(AN159=21,J159,0)</f>
        <v>0</v>
      </c>
      <c r="AN159" s="38">
        <v>0</v>
      </c>
      <c r="AO159" s="38">
        <f t="shared" ref="AO159:AO164" si="126">G159*0</f>
        <v>0</v>
      </c>
      <c r="AP159" s="38">
        <f t="shared" ref="AP159:AP164" si="127">G159*(1-0)</f>
        <v>0</v>
      </c>
      <c r="AQ159" s="41" t="s">
        <v>76</v>
      </c>
      <c r="AV159" s="38">
        <f t="shared" ref="AV159:AV164" si="128">ROUND(AW159+AX159,2)</f>
        <v>0</v>
      </c>
      <c r="AW159" s="38">
        <f t="shared" ref="AW159:AW164" si="129">ROUND(F159*AO159,2)</f>
        <v>0</v>
      </c>
      <c r="AX159" s="38">
        <f t="shared" ref="AX159:AX164" si="130">ROUND(F159*AP159,2)</f>
        <v>0</v>
      </c>
      <c r="AY159" s="41" t="s">
        <v>373</v>
      </c>
      <c r="AZ159" s="41" t="s">
        <v>478</v>
      </c>
      <c r="BA159" s="29" t="s">
        <v>395</v>
      </c>
      <c r="BC159" s="38">
        <f t="shared" ref="BC159:BC164" si="131">AW159+AX159</f>
        <v>0</v>
      </c>
      <c r="BD159" s="38">
        <f t="shared" ref="BD159:BD164" si="132">G159/(100-BE159)*100</f>
        <v>0</v>
      </c>
      <c r="BE159" s="38">
        <v>0</v>
      </c>
      <c r="BF159" s="38">
        <f>159</f>
        <v>159</v>
      </c>
      <c r="BH159" s="38">
        <f t="shared" ref="BH159:BH164" si="133">F159*AO159</f>
        <v>0</v>
      </c>
      <c r="BI159" s="38">
        <f t="shared" ref="BI159:BI164" si="134">F159*AP159</f>
        <v>0</v>
      </c>
      <c r="BJ159" s="38">
        <f t="shared" ref="BJ159:BJ164" si="135">F159*G159</f>
        <v>0</v>
      </c>
      <c r="BK159" s="41" t="s">
        <v>65</v>
      </c>
      <c r="BL159" s="38"/>
      <c r="BW159" s="38">
        <v>0</v>
      </c>
      <c r="BX159" s="26" t="s">
        <v>497</v>
      </c>
    </row>
    <row r="160" spans="1:76" ht="14.4" x14ac:dyDescent="0.3">
      <c r="A160" s="17" t="s">
        <v>498</v>
      </c>
      <c r="B160" s="18" t="s">
        <v>499</v>
      </c>
      <c r="C160" s="61" t="s">
        <v>372</v>
      </c>
      <c r="D160" s="58"/>
      <c r="E160" s="18" t="s">
        <v>112</v>
      </c>
      <c r="F160" s="38">
        <v>1.06358</v>
      </c>
      <c r="G160" s="39">
        <v>0</v>
      </c>
      <c r="H160" s="38">
        <f t="shared" si="112"/>
        <v>0</v>
      </c>
      <c r="I160" s="38">
        <f t="shared" si="113"/>
        <v>0</v>
      </c>
      <c r="J160" s="38">
        <f t="shared" si="114"/>
        <v>0</v>
      </c>
      <c r="K160" s="40" t="s">
        <v>51</v>
      </c>
      <c r="Z160" s="38">
        <f t="shared" si="115"/>
        <v>0</v>
      </c>
      <c r="AB160" s="38">
        <f t="shared" si="116"/>
        <v>0</v>
      </c>
      <c r="AC160" s="38">
        <f t="shared" si="117"/>
        <v>0</v>
      </c>
      <c r="AD160" s="38">
        <f t="shared" si="118"/>
        <v>0</v>
      </c>
      <c r="AE160" s="38">
        <f t="shared" si="119"/>
        <v>0</v>
      </c>
      <c r="AF160" s="38">
        <f t="shared" si="120"/>
        <v>0</v>
      </c>
      <c r="AG160" s="38">
        <f t="shared" si="121"/>
        <v>0</v>
      </c>
      <c r="AH160" s="38">
        <f t="shared" si="122"/>
        <v>0</v>
      </c>
      <c r="AI160" s="29" t="s">
        <v>388</v>
      </c>
      <c r="AJ160" s="38">
        <f t="shared" si="123"/>
        <v>0</v>
      </c>
      <c r="AK160" s="38">
        <f t="shared" si="124"/>
        <v>0</v>
      </c>
      <c r="AL160" s="38">
        <f t="shared" si="125"/>
        <v>0</v>
      </c>
      <c r="AN160" s="38">
        <v>0</v>
      </c>
      <c r="AO160" s="38">
        <f t="shared" si="126"/>
        <v>0</v>
      </c>
      <c r="AP160" s="38">
        <f t="shared" si="127"/>
        <v>0</v>
      </c>
      <c r="AQ160" s="41" t="s">
        <v>76</v>
      </c>
      <c r="AV160" s="38">
        <f t="shared" si="128"/>
        <v>0</v>
      </c>
      <c r="AW160" s="38">
        <f t="shared" si="129"/>
        <v>0</v>
      </c>
      <c r="AX160" s="38">
        <f t="shared" si="130"/>
        <v>0</v>
      </c>
      <c r="AY160" s="41" t="s">
        <v>373</v>
      </c>
      <c r="AZ160" s="41" t="s">
        <v>478</v>
      </c>
      <c r="BA160" s="29" t="s">
        <v>395</v>
      </c>
      <c r="BC160" s="38">
        <f t="shared" si="131"/>
        <v>0</v>
      </c>
      <c r="BD160" s="38">
        <f t="shared" si="132"/>
        <v>0</v>
      </c>
      <c r="BE160" s="38">
        <v>0</v>
      </c>
      <c r="BF160" s="38">
        <f>160</f>
        <v>160</v>
      </c>
      <c r="BH160" s="38">
        <f t="shared" si="133"/>
        <v>0</v>
      </c>
      <c r="BI160" s="38">
        <f t="shared" si="134"/>
        <v>0</v>
      </c>
      <c r="BJ160" s="38">
        <f t="shared" si="135"/>
        <v>0</v>
      </c>
      <c r="BK160" s="41" t="s">
        <v>65</v>
      </c>
      <c r="BL160" s="38"/>
      <c r="BW160" s="38">
        <v>0</v>
      </c>
      <c r="BX160" s="26" t="s">
        <v>372</v>
      </c>
    </row>
    <row r="161" spans="1:76" ht="14.4" x14ac:dyDescent="0.3">
      <c r="A161" s="17" t="s">
        <v>500</v>
      </c>
      <c r="B161" s="18" t="s">
        <v>501</v>
      </c>
      <c r="C161" s="61" t="s">
        <v>376</v>
      </c>
      <c r="D161" s="58"/>
      <c r="E161" s="18" t="s">
        <v>112</v>
      </c>
      <c r="F161" s="38">
        <v>1.06358</v>
      </c>
      <c r="G161" s="39">
        <v>0</v>
      </c>
      <c r="H161" s="38">
        <f t="shared" si="112"/>
        <v>0</v>
      </c>
      <c r="I161" s="38">
        <f t="shared" si="113"/>
        <v>0</v>
      </c>
      <c r="J161" s="38">
        <f t="shared" si="114"/>
        <v>0</v>
      </c>
      <c r="K161" s="40" t="s">
        <v>51</v>
      </c>
      <c r="Z161" s="38">
        <f t="shared" si="115"/>
        <v>0</v>
      </c>
      <c r="AB161" s="38">
        <f t="shared" si="116"/>
        <v>0</v>
      </c>
      <c r="AC161" s="38">
        <f t="shared" si="117"/>
        <v>0</v>
      </c>
      <c r="AD161" s="38">
        <f t="shared" si="118"/>
        <v>0</v>
      </c>
      <c r="AE161" s="38">
        <f t="shared" si="119"/>
        <v>0</v>
      </c>
      <c r="AF161" s="38">
        <f t="shared" si="120"/>
        <v>0</v>
      </c>
      <c r="AG161" s="38">
        <f t="shared" si="121"/>
        <v>0</v>
      </c>
      <c r="AH161" s="38">
        <f t="shared" si="122"/>
        <v>0</v>
      </c>
      <c r="AI161" s="29" t="s">
        <v>388</v>
      </c>
      <c r="AJ161" s="38">
        <f t="shared" si="123"/>
        <v>0</v>
      </c>
      <c r="AK161" s="38">
        <f t="shared" si="124"/>
        <v>0</v>
      </c>
      <c r="AL161" s="38">
        <f t="shared" si="125"/>
        <v>0</v>
      </c>
      <c r="AN161" s="38">
        <v>0</v>
      </c>
      <c r="AO161" s="38">
        <f t="shared" si="126"/>
        <v>0</v>
      </c>
      <c r="AP161" s="38">
        <f t="shared" si="127"/>
        <v>0</v>
      </c>
      <c r="AQ161" s="41" t="s">
        <v>76</v>
      </c>
      <c r="AV161" s="38">
        <f t="shared" si="128"/>
        <v>0</v>
      </c>
      <c r="AW161" s="38">
        <f t="shared" si="129"/>
        <v>0</v>
      </c>
      <c r="AX161" s="38">
        <f t="shared" si="130"/>
        <v>0</v>
      </c>
      <c r="AY161" s="41" t="s">
        <v>373</v>
      </c>
      <c r="AZ161" s="41" t="s">
        <v>478</v>
      </c>
      <c r="BA161" s="29" t="s">
        <v>395</v>
      </c>
      <c r="BC161" s="38">
        <f t="shared" si="131"/>
        <v>0</v>
      </c>
      <c r="BD161" s="38">
        <f t="shared" si="132"/>
        <v>0</v>
      </c>
      <c r="BE161" s="38">
        <v>0</v>
      </c>
      <c r="BF161" s="38">
        <f>161</f>
        <v>161</v>
      </c>
      <c r="BH161" s="38">
        <f t="shared" si="133"/>
        <v>0</v>
      </c>
      <c r="BI161" s="38">
        <f t="shared" si="134"/>
        <v>0</v>
      </c>
      <c r="BJ161" s="38">
        <f t="shared" si="135"/>
        <v>0</v>
      </c>
      <c r="BK161" s="41" t="s">
        <v>65</v>
      </c>
      <c r="BL161" s="38"/>
      <c r="BW161" s="38">
        <v>0</v>
      </c>
      <c r="BX161" s="26" t="s">
        <v>376</v>
      </c>
    </row>
    <row r="162" spans="1:76" ht="14.4" x14ac:dyDescent="0.3">
      <c r="A162" s="17" t="s">
        <v>502</v>
      </c>
      <c r="B162" s="18" t="s">
        <v>503</v>
      </c>
      <c r="C162" s="61" t="s">
        <v>504</v>
      </c>
      <c r="D162" s="58"/>
      <c r="E162" s="18" t="s">
        <v>112</v>
      </c>
      <c r="F162" s="38">
        <v>1.06358</v>
      </c>
      <c r="G162" s="39">
        <v>0</v>
      </c>
      <c r="H162" s="38">
        <f t="shared" si="112"/>
        <v>0</v>
      </c>
      <c r="I162" s="38">
        <f t="shared" si="113"/>
        <v>0</v>
      </c>
      <c r="J162" s="38">
        <f t="shared" si="114"/>
        <v>0</v>
      </c>
      <c r="K162" s="40" t="s">
        <v>51</v>
      </c>
      <c r="Z162" s="38">
        <f t="shared" si="115"/>
        <v>0</v>
      </c>
      <c r="AB162" s="38">
        <f t="shared" si="116"/>
        <v>0</v>
      </c>
      <c r="AC162" s="38">
        <f t="shared" si="117"/>
        <v>0</v>
      </c>
      <c r="AD162" s="38">
        <f t="shared" si="118"/>
        <v>0</v>
      </c>
      <c r="AE162" s="38">
        <f t="shared" si="119"/>
        <v>0</v>
      </c>
      <c r="AF162" s="38">
        <f t="shared" si="120"/>
        <v>0</v>
      </c>
      <c r="AG162" s="38">
        <f t="shared" si="121"/>
        <v>0</v>
      </c>
      <c r="AH162" s="38">
        <f t="shared" si="122"/>
        <v>0</v>
      </c>
      <c r="AI162" s="29" t="s">
        <v>388</v>
      </c>
      <c r="AJ162" s="38">
        <f t="shared" si="123"/>
        <v>0</v>
      </c>
      <c r="AK162" s="38">
        <f t="shared" si="124"/>
        <v>0</v>
      </c>
      <c r="AL162" s="38">
        <f t="shared" si="125"/>
        <v>0</v>
      </c>
      <c r="AN162" s="38">
        <v>0</v>
      </c>
      <c r="AO162" s="38">
        <f t="shared" si="126"/>
        <v>0</v>
      </c>
      <c r="AP162" s="38">
        <f t="shared" si="127"/>
        <v>0</v>
      </c>
      <c r="AQ162" s="41" t="s">
        <v>76</v>
      </c>
      <c r="AV162" s="38">
        <f t="shared" si="128"/>
        <v>0</v>
      </c>
      <c r="AW162" s="38">
        <f t="shared" si="129"/>
        <v>0</v>
      </c>
      <c r="AX162" s="38">
        <f t="shared" si="130"/>
        <v>0</v>
      </c>
      <c r="AY162" s="41" t="s">
        <v>373</v>
      </c>
      <c r="AZ162" s="41" t="s">
        <v>478</v>
      </c>
      <c r="BA162" s="29" t="s">
        <v>395</v>
      </c>
      <c r="BC162" s="38">
        <f t="shared" si="131"/>
        <v>0</v>
      </c>
      <c r="BD162" s="38">
        <f t="shared" si="132"/>
        <v>0</v>
      </c>
      <c r="BE162" s="38">
        <v>0</v>
      </c>
      <c r="BF162" s="38">
        <f>162</f>
        <v>162</v>
      </c>
      <c r="BH162" s="38">
        <f t="shared" si="133"/>
        <v>0</v>
      </c>
      <c r="BI162" s="38">
        <f t="shared" si="134"/>
        <v>0</v>
      </c>
      <c r="BJ162" s="38">
        <f t="shared" si="135"/>
        <v>0</v>
      </c>
      <c r="BK162" s="41" t="s">
        <v>65</v>
      </c>
      <c r="BL162" s="38"/>
      <c r="BW162" s="38">
        <v>0</v>
      </c>
      <c r="BX162" s="26" t="s">
        <v>504</v>
      </c>
    </row>
    <row r="163" spans="1:76" ht="14.4" x14ac:dyDescent="0.3">
      <c r="A163" s="17" t="s">
        <v>505</v>
      </c>
      <c r="B163" s="18" t="s">
        <v>506</v>
      </c>
      <c r="C163" s="61" t="s">
        <v>507</v>
      </c>
      <c r="D163" s="58"/>
      <c r="E163" s="18" t="s">
        <v>112</v>
      </c>
      <c r="F163" s="38">
        <v>3.61226</v>
      </c>
      <c r="G163" s="39">
        <v>0</v>
      </c>
      <c r="H163" s="38">
        <f t="shared" si="112"/>
        <v>0</v>
      </c>
      <c r="I163" s="38">
        <f t="shared" si="113"/>
        <v>0</v>
      </c>
      <c r="J163" s="38">
        <f t="shared" si="114"/>
        <v>0</v>
      </c>
      <c r="K163" s="40" t="s">
        <v>51</v>
      </c>
      <c r="Z163" s="38">
        <f t="shared" si="115"/>
        <v>0</v>
      </c>
      <c r="AB163" s="38">
        <f t="shared" si="116"/>
        <v>0</v>
      </c>
      <c r="AC163" s="38">
        <f t="shared" si="117"/>
        <v>0</v>
      </c>
      <c r="AD163" s="38">
        <f t="shared" si="118"/>
        <v>0</v>
      </c>
      <c r="AE163" s="38">
        <f t="shared" si="119"/>
        <v>0</v>
      </c>
      <c r="AF163" s="38">
        <f t="shared" si="120"/>
        <v>0</v>
      </c>
      <c r="AG163" s="38">
        <f t="shared" si="121"/>
        <v>0</v>
      </c>
      <c r="AH163" s="38">
        <f t="shared" si="122"/>
        <v>0</v>
      </c>
      <c r="AI163" s="29" t="s">
        <v>388</v>
      </c>
      <c r="AJ163" s="38">
        <f t="shared" si="123"/>
        <v>0</v>
      </c>
      <c r="AK163" s="38">
        <f t="shared" si="124"/>
        <v>0</v>
      </c>
      <c r="AL163" s="38">
        <f t="shared" si="125"/>
        <v>0</v>
      </c>
      <c r="AN163" s="38">
        <v>0</v>
      </c>
      <c r="AO163" s="38">
        <f t="shared" si="126"/>
        <v>0</v>
      </c>
      <c r="AP163" s="38">
        <f t="shared" si="127"/>
        <v>0</v>
      </c>
      <c r="AQ163" s="41" t="s">
        <v>76</v>
      </c>
      <c r="AV163" s="38">
        <f t="shared" si="128"/>
        <v>0</v>
      </c>
      <c r="AW163" s="38">
        <f t="shared" si="129"/>
        <v>0</v>
      </c>
      <c r="AX163" s="38">
        <f t="shared" si="130"/>
        <v>0</v>
      </c>
      <c r="AY163" s="41" t="s">
        <v>373</v>
      </c>
      <c r="AZ163" s="41" t="s">
        <v>478</v>
      </c>
      <c r="BA163" s="29" t="s">
        <v>395</v>
      </c>
      <c r="BC163" s="38">
        <f t="shared" si="131"/>
        <v>0</v>
      </c>
      <c r="BD163" s="38">
        <f t="shared" si="132"/>
        <v>0</v>
      </c>
      <c r="BE163" s="38">
        <v>0</v>
      </c>
      <c r="BF163" s="38">
        <f>163</f>
        <v>163</v>
      </c>
      <c r="BH163" s="38">
        <f t="shared" si="133"/>
        <v>0</v>
      </c>
      <c r="BI163" s="38">
        <f t="shared" si="134"/>
        <v>0</v>
      </c>
      <c r="BJ163" s="38">
        <f t="shared" si="135"/>
        <v>0</v>
      </c>
      <c r="BK163" s="41" t="s">
        <v>65</v>
      </c>
      <c r="BL163" s="38"/>
      <c r="BW163" s="38">
        <v>0</v>
      </c>
      <c r="BX163" s="26" t="s">
        <v>507</v>
      </c>
    </row>
    <row r="164" spans="1:76" ht="14.4" x14ac:dyDescent="0.3">
      <c r="A164" s="17" t="s">
        <v>508</v>
      </c>
      <c r="B164" s="18" t="s">
        <v>509</v>
      </c>
      <c r="C164" s="61" t="s">
        <v>510</v>
      </c>
      <c r="D164" s="58"/>
      <c r="E164" s="18" t="s">
        <v>112</v>
      </c>
      <c r="F164" s="38">
        <v>1.7399999999999999E-2</v>
      </c>
      <c r="G164" s="39">
        <v>0</v>
      </c>
      <c r="H164" s="38">
        <f t="shared" si="112"/>
        <v>0</v>
      </c>
      <c r="I164" s="38">
        <f t="shared" si="113"/>
        <v>0</v>
      </c>
      <c r="J164" s="38">
        <f t="shared" si="114"/>
        <v>0</v>
      </c>
      <c r="K164" s="40" t="s">
        <v>51</v>
      </c>
      <c r="Z164" s="38">
        <f t="shared" si="115"/>
        <v>0</v>
      </c>
      <c r="AB164" s="38">
        <f t="shared" si="116"/>
        <v>0</v>
      </c>
      <c r="AC164" s="38">
        <f t="shared" si="117"/>
        <v>0</v>
      </c>
      <c r="AD164" s="38">
        <f t="shared" si="118"/>
        <v>0</v>
      </c>
      <c r="AE164" s="38">
        <f t="shared" si="119"/>
        <v>0</v>
      </c>
      <c r="AF164" s="38">
        <f t="shared" si="120"/>
        <v>0</v>
      </c>
      <c r="AG164" s="38">
        <f t="shared" si="121"/>
        <v>0</v>
      </c>
      <c r="AH164" s="38">
        <f t="shared" si="122"/>
        <v>0</v>
      </c>
      <c r="AI164" s="29" t="s">
        <v>388</v>
      </c>
      <c r="AJ164" s="38">
        <f t="shared" si="123"/>
        <v>0</v>
      </c>
      <c r="AK164" s="38">
        <f t="shared" si="124"/>
        <v>0</v>
      </c>
      <c r="AL164" s="38">
        <f t="shared" si="125"/>
        <v>0</v>
      </c>
      <c r="AN164" s="38">
        <v>0</v>
      </c>
      <c r="AO164" s="38">
        <f t="shared" si="126"/>
        <v>0</v>
      </c>
      <c r="AP164" s="38">
        <f t="shared" si="127"/>
        <v>0</v>
      </c>
      <c r="AQ164" s="41" t="s">
        <v>76</v>
      </c>
      <c r="AV164" s="38">
        <f t="shared" si="128"/>
        <v>0</v>
      </c>
      <c r="AW164" s="38">
        <f t="shared" si="129"/>
        <v>0</v>
      </c>
      <c r="AX164" s="38">
        <f t="shared" si="130"/>
        <v>0</v>
      </c>
      <c r="AY164" s="41" t="s">
        <v>373</v>
      </c>
      <c r="AZ164" s="41" t="s">
        <v>478</v>
      </c>
      <c r="BA164" s="29" t="s">
        <v>395</v>
      </c>
      <c r="BC164" s="38">
        <f t="shared" si="131"/>
        <v>0</v>
      </c>
      <c r="BD164" s="38">
        <f t="shared" si="132"/>
        <v>0</v>
      </c>
      <c r="BE164" s="38">
        <v>0</v>
      </c>
      <c r="BF164" s="38">
        <f>164</f>
        <v>164</v>
      </c>
      <c r="BH164" s="38">
        <f t="shared" si="133"/>
        <v>0</v>
      </c>
      <c r="BI164" s="38">
        <f t="shared" si="134"/>
        <v>0</v>
      </c>
      <c r="BJ164" s="38">
        <f t="shared" si="135"/>
        <v>0</v>
      </c>
      <c r="BK164" s="41" t="s">
        <v>65</v>
      </c>
      <c r="BL164" s="38"/>
      <c r="BW164" s="38">
        <v>0</v>
      </c>
      <c r="BX164" s="26" t="s">
        <v>510</v>
      </c>
    </row>
    <row r="165" spans="1:76" ht="14.4" x14ac:dyDescent="0.3">
      <c r="A165" s="34" t="s">
        <v>51</v>
      </c>
      <c r="B165" s="35" t="s">
        <v>90</v>
      </c>
      <c r="C165" s="78" t="s">
        <v>511</v>
      </c>
      <c r="D165" s="79"/>
      <c r="E165" s="36" t="s">
        <v>4</v>
      </c>
      <c r="F165" s="36" t="s">
        <v>4</v>
      </c>
      <c r="G165" s="25" t="s">
        <v>4</v>
      </c>
      <c r="H165" s="24">
        <f>SUM(H166:H166)</f>
        <v>0</v>
      </c>
      <c r="I165" s="24">
        <f>SUM(I166:I166)</f>
        <v>0</v>
      </c>
      <c r="J165" s="24">
        <f>SUM(J166:J166)</f>
        <v>0</v>
      </c>
      <c r="K165" s="37" t="s">
        <v>51</v>
      </c>
      <c r="AI165" s="29" t="s">
        <v>388</v>
      </c>
      <c r="AS165" s="24">
        <f>SUM(AJ166:AJ166)</f>
        <v>0</v>
      </c>
      <c r="AT165" s="24">
        <f>SUM(AK166:AK166)</f>
        <v>0</v>
      </c>
      <c r="AU165" s="24">
        <f>SUM(AL166:AL166)</f>
        <v>0</v>
      </c>
    </row>
    <row r="166" spans="1:76" ht="14.4" x14ac:dyDescent="0.3">
      <c r="A166" s="14" t="s">
        <v>512</v>
      </c>
      <c r="B166" s="15" t="s">
        <v>513</v>
      </c>
      <c r="C166" s="80" t="s">
        <v>514</v>
      </c>
      <c r="D166" s="81"/>
      <c r="E166" s="15" t="s">
        <v>126</v>
      </c>
      <c r="F166" s="42">
        <v>1</v>
      </c>
      <c r="G166" s="43">
        <v>0</v>
      </c>
      <c r="H166" s="42">
        <f>ROUND(F166*AO166,2)</f>
        <v>0</v>
      </c>
      <c r="I166" s="42">
        <f>ROUND(F166*AP166,2)</f>
        <v>0</v>
      </c>
      <c r="J166" s="42">
        <f>ROUND(F166*G166,2)</f>
        <v>0</v>
      </c>
      <c r="K166" s="44" t="s">
        <v>51</v>
      </c>
      <c r="Z166" s="38">
        <f>ROUND(IF(AQ166="5",BJ166,0),2)</f>
        <v>0</v>
      </c>
      <c r="AB166" s="38">
        <f>ROUND(IF(AQ166="1",BH166,0),2)</f>
        <v>0</v>
      </c>
      <c r="AC166" s="38">
        <f>ROUND(IF(AQ166="1",BI166,0),2)</f>
        <v>0</v>
      </c>
      <c r="AD166" s="38">
        <f>ROUND(IF(AQ166="7",BH166,0),2)</f>
        <v>0</v>
      </c>
      <c r="AE166" s="38">
        <f>ROUND(IF(AQ166="7",BI166,0),2)</f>
        <v>0</v>
      </c>
      <c r="AF166" s="38">
        <f>ROUND(IF(AQ166="2",BH166,0),2)</f>
        <v>0</v>
      </c>
      <c r="AG166" s="38">
        <f>ROUND(IF(AQ166="2",BI166,0),2)</f>
        <v>0</v>
      </c>
      <c r="AH166" s="38">
        <f>ROUND(IF(AQ166="0",BJ166,0),2)</f>
        <v>0</v>
      </c>
      <c r="AI166" s="29" t="s">
        <v>388</v>
      </c>
      <c r="AJ166" s="38">
        <f>IF(AN166=0,J166,0)</f>
        <v>0</v>
      </c>
      <c r="AK166" s="38">
        <f>IF(AN166=12,J166,0)</f>
        <v>0</v>
      </c>
      <c r="AL166" s="38">
        <f>IF(AN166=21,J166,0)</f>
        <v>0</v>
      </c>
      <c r="AN166" s="38">
        <v>0</v>
      </c>
      <c r="AO166" s="38">
        <f>G166*1</f>
        <v>0</v>
      </c>
      <c r="AP166" s="38">
        <f>G166*(1-1)</f>
        <v>0</v>
      </c>
      <c r="AQ166" s="41" t="s">
        <v>515</v>
      </c>
      <c r="AV166" s="38">
        <f>ROUND(AW166+AX166,2)</f>
        <v>0</v>
      </c>
      <c r="AW166" s="38">
        <f>ROUND(F166*AO166,2)</f>
        <v>0</v>
      </c>
      <c r="AX166" s="38">
        <f>ROUND(F166*AP166,2)</f>
        <v>0</v>
      </c>
      <c r="AY166" s="41" t="s">
        <v>516</v>
      </c>
      <c r="AZ166" s="41" t="s">
        <v>517</v>
      </c>
      <c r="BA166" s="29" t="s">
        <v>395</v>
      </c>
      <c r="BC166" s="38">
        <f>AW166+AX166</f>
        <v>0</v>
      </c>
      <c r="BD166" s="38">
        <f>G166/(100-BE166)*100</f>
        <v>0</v>
      </c>
      <c r="BE166" s="38">
        <v>0</v>
      </c>
      <c r="BF166" s="38">
        <f>166</f>
        <v>166</v>
      </c>
      <c r="BH166" s="38">
        <f>F166*AO166</f>
        <v>0</v>
      </c>
      <c r="BI166" s="38">
        <f>F166*AP166</f>
        <v>0</v>
      </c>
      <c r="BJ166" s="38">
        <f>F166*G166</f>
        <v>0</v>
      </c>
      <c r="BK166" s="41" t="s">
        <v>90</v>
      </c>
      <c r="BL166" s="38"/>
      <c r="BW166" s="38">
        <v>0</v>
      </c>
      <c r="BX166" s="26" t="s">
        <v>514</v>
      </c>
    </row>
    <row r="167" spans="1:76" ht="14.4" x14ac:dyDescent="0.3">
      <c r="H167" s="64" t="s">
        <v>518</v>
      </c>
      <c r="I167" s="64"/>
      <c r="J167" s="45">
        <f>ROUND(J13+J31+J38+J65+J67+J72+J83+J90+J92+J98+J104+J106+J113+J120+J122+J125+J128+J130+J132+J136+J140+J142+J144+J146+J149+J152+J154+J158+J165,2)</f>
        <v>0</v>
      </c>
    </row>
    <row r="168" spans="1:76" ht="14.4" x14ac:dyDescent="0.3">
      <c r="A168" s="46" t="s">
        <v>519</v>
      </c>
    </row>
    <row r="169" spans="1:76" ht="40.5" customHeight="1" x14ac:dyDescent="0.3">
      <c r="A169" s="61" t="s">
        <v>520</v>
      </c>
      <c r="B169" s="58"/>
      <c r="C169" s="58"/>
      <c r="D169" s="58"/>
      <c r="E169" s="58"/>
      <c r="F169" s="58"/>
      <c r="G169" s="58"/>
      <c r="H169" s="58"/>
      <c r="I169" s="58"/>
      <c r="J169" s="58"/>
      <c r="K169" s="58"/>
    </row>
  </sheetData>
  <sheetProtection password="C7EB" sheet="1"/>
  <mergeCells count="185">
    <mergeCell ref="C165:D165"/>
    <mergeCell ref="C166:D166"/>
    <mergeCell ref="H167:I167"/>
    <mergeCell ref="A169:K169"/>
    <mergeCell ref="C160:D160"/>
    <mergeCell ref="C161:D161"/>
    <mergeCell ref="C162:D162"/>
    <mergeCell ref="C163:D163"/>
    <mergeCell ref="C164:D164"/>
    <mergeCell ref="C155:D155"/>
    <mergeCell ref="C156:D156"/>
    <mergeCell ref="C157:D157"/>
    <mergeCell ref="C158:D158"/>
    <mergeCell ref="C159:D159"/>
    <mergeCell ref="C150:D150"/>
    <mergeCell ref="C151:D151"/>
    <mergeCell ref="C152:D152"/>
    <mergeCell ref="C153:D153"/>
    <mergeCell ref="C154:D154"/>
    <mergeCell ref="C145:D145"/>
    <mergeCell ref="C146:D146"/>
    <mergeCell ref="C147:D147"/>
    <mergeCell ref="C148:D148"/>
    <mergeCell ref="C149:D149"/>
    <mergeCell ref="C140:D140"/>
    <mergeCell ref="C141:D141"/>
    <mergeCell ref="C142:D142"/>
    <mergeCell ref="C143:D143"/>
    <mergeCell ref="C144:D144"/>
    <mergeCell ref="C135:D135"/>
    <mergeCell ref="C136:D136"/>
    <mergeCell ref="C137:D137"/>
    <mergeCell ref="C138:D138"/>
    <mergeCell ref="C139:D139"/>
    <mergeCell ref="C130:D130"/>
    <mergeCell ref="C131:D131"/>
    <mergeCell ref="C132:D132"/>
    <mergeCell ref="C133:D133"/>
    <mergeCell ref="C134:D134"/>
    <mergeCell ref="C125:D125"/>
    <mergeCell ref="C126:D126"/>
    <mergeCell ref="C127:D127"/>
    <mergeCell ref="C128:D128"/>
    <mergeCell ref="C129:D129"/>
    <mergeCell ref="C120:D120"/>
    <mergeCell ref="C121:D121"/>
    <mergeCell ref="C122:D122"/>
    <mergeCell ref="C123:D123"/>
    <mergeCell ref="C124:D124"/>
    <mergeCell ref="C115:D115"/>
    <mergeCell ref="C116:D116"/>
    <mergeCell ref="C117:D117"/>
    <mergeCell ref="C118:D118"/>
    <mergeCell ref="C119:D119"/>
    <mergeCell ref="C110:D110"/>
    <mergeCell ref="C111:D111"/>
    <mergeCell ref="C112:D112"/>
    <mergeCell ref="C113:D113"/>
    <mergeCell ref="C114:D114"/>
    <mergeCell ref="C105:D105"/>
    <mergeCell ref="C106:D106"/>
    <mergeCell ref="C107:D107"/>
    <mergeCell ref="C108:D108"/>
    <mergeCell ref="C109:D109"/>
    <mergeCell ref="C100:D100"/>
    <mergeCell ref="C101:D101"/>
    <mergeCell ref="C102:D102"/>
    <mergeCell ref="C103:D103"/>
    <mergeCell ref="C104:D104"/>
    <mergeCell ref="C95:D95"/>
    <mergeCell ref="C96:D96"/>
    <mergeCell ref="C97:D97"/>
    <mergeCell ref="C98:D98"/>
    <mergeCell ref="C99:D99"/>
    <mergeCell ref="C90:D90"/>
    <mergeCell ref="C91:D91"/>
    <mergeCell ref="C92:D92"/>
    <mergeCell ref="C93:D93"/>
    <mergeCell ref="C94:D94"/>
    <mergeCell ref="C85:D85"/>
    <mergeCell ref="C86:D86"/>
    <mergeCell ref="C87:D87"/>
    <mergeCell ref="C88:D88"/>
    <mergeCell ref="C89:D89"/>
    <mergeCell ref="C80:D80"/>
    <mergeCell ref="C81:D81"/>
    <mergeCell ref="C82:D82"/>
    <mergeCell ref="C83:D83"/>
    <mergeCell ref="C84:D84"/>
    <mergeCell ref="C75:D75"/>
    <mergeCell ref="C76:D76"/>
    <mergeCell ref="C77:D77"/>
    <mergeCell ref="C78:D78"/>
    <mergeCell ref="C79:D79"/>
    <mergeCell ref="C70:D70"/>
    <mergeCell ref="C71:D71"/>
    <mergeCell ref="C72:D72"/>
    <mergeCell ref="C73:D73"/>
    <mergeCell ref="C74:D74"/>
    <mergeCell ref="C65:D65"/>
    <mergeCell ref="C66:D66"/>
    <mergeCell ref="C67:D67"/>
    <mergeCell ref="C68:D68"/>
    <mergeCell ref="C69:D69"/>
    <mergeCell ref="C60:D60"/>
    <mergeCell ref="C61:D61"/>
    <mergeCell ref="C62:D62"/>
    <mergeCell ref="C63:D63"/>
    <mergeCell ref="C64:D64"/>
    <mergeCell ref="C55:D55"/>
    <mergeCell ref="C56:D56"/>
    <mergeCell ref="C57:D57"/>
    <mergeCell ref="C58:D58"/>
    <mergeCell ref="C59:D59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C40:D40"/>
    <mergeCell ref="C41:D41"/>
    <mergeCell ref="C42:D42"/>
    <mergeCell ref="C43:D43"/>
    <mergeCell ref="C44:D44"/>
    <mergeCell ref="C36:D36"/>
    <mergeCell ref="C37:D37"/>
    <mergeCell ref="C38:D38"/>
    <mergeCell ref="C39:D39"/>
    <mergeCell ref="C30:D30"/>
    <mergeCell ref="C31:D31"/>
    <mergeCell ref="C32:D32"/>
    <mergeCell ref="C33:D33"/>
    <mergeCell ref="C34:D34"/>
    <mergeCell ref="C27:D27"/>
    <mergeCell ref="C28:D28"/>
    <mergeCell ref="C29:D29"/>
    <mergeCell ref="C20:D20"/>
    <mergeCell ref="C21:D21"/>
    <mergeCell ref="C22:D22"/>
    <mergeCell ref="C23:D23"/>
    <mergeCell ref="C24:D24"/>
    <mergeCell ref="C35:D35"/>
    <mergeCell ref="C18:D18"/>
    <mergeCell ref="C19:D19"/>
    <mergeCell ref="C11:D11"/>
    <mergeCell ref="H10:J10"/>
    <mergeCell ref="C12:D12"/>
    <mergeCell ref="C13:D13"/>
    <mergeCell ref="C14:D14"/>
    <mergeCell ref="C25:D25"/>
    <mergeCell ref="C26:D26"/>
    <mergeCell ref="C10:D10"/>
    <mergeCell ref="C8:D9"/>
    <mergeCell ref="G2:G3"/>
    <mergeCell ref="G4:G5"/>
    <mergeCell ref="G6:G7"/>
    <mergeCell ref="G8:G9"/>
    <mergeCell ref="C15:D15"/>
    <mergeCell ref="C16:D16"/>
    <mergeCell ref="C17:D17"/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  <mergeCell ref="I2:K3"/>
    <mergeCell ref="I4:K5"/>
    <mergeCell ref="I6:K7"/>
    <mergeCell ref="I8:K9"/>
  </mergeCells>
  <pageMargins left="0.393999993801117" right="0.393999993801117" top="0.59100002050399802" bottom="0.59100002050399802" header="0" footer="0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workbookViewId="0">
      <selection activeCell="A37" sqref="A37:I37"/>
    </sheetView>
  </sheetViews>
  <sheetFormatPr defaultColWidth="12.109375" defaultRowHeight="15" customHeight="1" x14ac:dyDescent="0.3"/>
  <cols>
    <col min="1" max="1" width="9.109375" customWidth="1"/>
    <col min="2" max="2" width="12.88671875" customWidth="1"/>
    <col min="3" max="3" width="27.109375" customWidth="1"/>
    <col min="4" max="4" width="10" customWidth="1"/>
    <col min="5" max="5" width="14" customWidth="1"/>
    <col min="6" max="6" width="27.109375" customWidth="1"/>
    <col min="7" max="7" width="9.109375" customWidth="1"/>
    <col min="8" max="8" width="12.88671875" customWidth="1"/>
    <col min="9" max="9" width="27.109375" customWidth="1"/>
  </cols>
  <sheetData>
    <row r="1" spans="1:9" ht="54.75" customHeight="1" x14ac:dyDescent="0.3">
      <c r="A1" s="82" t="s">
        <v>521</v>
      </c>
      <c r="B1" s="54"/>
      <c r="C1" s="54"/>
      <c r="D1" s="54"/>
      <c r="E1" s="54"/>
      <c r="F1" s="54"/>
      <c r="G1" s="54"/>
      <c r="H1" s="54"/>
      <c r="I1" s="54"/>
    </row>
    <row r="2" spans="1:9" ht="14.4" x14ac:dyDescent="0.3">
      <c r="A2" s="55" t="s">
        <v>1</v>
      </c>
      <c r="B2" s="56"/>
      <c r="C2" s="62" t="str">
        <f>'Stavební rozpočet'!C2</f>
        <v>VÝMĚNA ROZVODU ZTI V HALE RONDO, BRNO</v>
      </c>
      <c r="D2" s="63"/>
      <c r="E2" s="60" t="s">
        <v>5</v>
      </c>
      <c r="F2" s="60" t="str">
        <f>'Stavební rozpočet'!I2</f>
        <v>STAREZ – SPORT, a.s.</v>
      </c>
      <c r="G2" s="56"/>
      <c r="H2" s="60" t="s">
        <v>522</v>
      </c>
      <c r="I2" s="65" t="s">
        <v>523</v>
      </c>
    </row>
    <row r="3" spans="1:9" ht="15" customHeight="1" x14ac:dyDescent="0.3">
      <c r="A3" s="57"/>
      <c r="B3" s="58"/>
      <c r="C3" s="64"/>
      <c r="D3" s="64"/>
      <c r="E3" s="58"/>
      <c r="F3" s="58"/>
      <c r="G3" s="58"/>
      <c r="H3" s="58"/>
      <c r="I3" s="66"/>
    </row>
    <row r="4" spans="1:9" ht="14.4" x14ac:dyDescent="0.3">
      <c r="A4" s="59" t="s">
        <v>7</v>
      </c>
      <c r="B4" s="58"/>
      <c r="C4" s="61" t="str">
        <f>'Stavební rozpočet'!C4</f>
        <v>DOKUMENTACE PROVEDENÍ STAVBY</v>
      </c>
      <c r="D4" s="58"/>
      <c r="E4" s="61" t="s">
        <v>10</v>
      </c>
      <c r="F4" s="61" t="str">
        <f>'Stavební rozpočet'!I4</f>
        <v>ING. LUKÁŠ DOLEŽAL</v>
      </c>
      <c r="G4" s="58"/>
      <c r="H4" s="61" t="s">
        <v>522</v>
      </c>
      <c r="I4" s="66" t="s">
        <v>524</v>
      </c>
    </row>
    <row r="5" spans="1:9" ht="15" customHeight="1" x14ac:dyDescent="0.3">
      <c r="A5" s="57"/>
      <c r="B5" s="58"/>
      <c r="C5" s="58"/>
      <c r="D5" s="58"/>
      <c r="E5" s="58"/>
      <c r="F5" s="58"/>
      <c r="G5" s="58"/>
      <c r="H5" s="58"/>
      <c r="I5" s="66"/>
    </row>
    <row r="6" spans="1:9" ht="14.4" x14ac:dyDescent="0.3">
      <c r="A6" s="59" t="s">
        <v>12</v>
      </c>
      <c r="B6" s="58"/>
      <c r="C6" s="61" t="str">
        <f>'Stavební rozpočet'!C6</f>
        <v>Křídlovická 911/34, 60300 Brno - Staré Brno, Česko</v>
      </c>
      <c r="D6" s="58"/>
      <c r="E6" s="61" t="s">
        <v>15</v>
      </c>
      <c r="F6" s="61" t="str">
        <f>'Stavební rozpočet'!I6</f>
        <v>dle výběrového řízení</v>
      </c>
      <c r="G6" s="58"/>
      <c r="H6" s="61" t="s">
        <v>522</v>
      </c>
      <c r="I6" s="66" t="s">
        <v>51</v>
      </c>
    </row>
    <row r="7" spans="1:9" ht="15" customHeight="1" x14ac:dyDescent="0.3">
      <c r="A7" s="57"/>
      <c r="B7" s="58"/>
      <c r="C7" s="58"/>
      <c r="D7" s="58"/>
      <c r="E7" s="58"/>
      <c r="F7" s="58"/>
      <c r="G7" s="58"/>
      <c r="H7" s="58"/>
      <c r="I7" s="66"/>
    </row>
    <row r="8" spans="1:9" ht="14.4" x14ac:dyDescent="0.3">
      <c r="A8" s="59" t="s">
        <v>9</v>
      </c>
      <c r="B8" s="58"/>
      <c r="C8" s="61">
        <f>'Stavební rozpočet'!G4</f>
        <v>0</v>
      </c>
      <c r="D8" s="58"/>
      <c r="E8" s="61" t="s">
        <v>14</v>
      </c>
      <c r="F8" s="61" t="str">
        <f>'Stavební rozpočet'!G6</f>
        <v xml:space="preserve"> </v>
      </c>
      <c r="G8" s="58"/>
      <c r="H8" s="58" t="s">
        <v>525</v>
      </c>
      <c r="I8" s="83">
        <v>122</v>
      </c>
    </row>
    <row r="9" spans="1:9" ht="14.4" x14ac:dyDescent="0.3">
      <c r="A9" s="57"/>
      <c r="B9" s="58"/>
      <c r="C9" s="58"/>
      <c r="D9" s="58"/>
      <c r="E9" s="58"/>
      <c r="F9" s="58"/>
      <c r="G9" s="58"/>
      <c r="H9" s="58"/>
      <c r="I9" s="66"/>
    </row>
    <row r="10" spans="1:9" ht="14.4" x14ac:dyDescent="0.3">
      <c r="A10" s="59" t="s">
        <v>17</v>
      </c>
      <c r="B10" s="58"/>
      <c r="C10" s="61" t="str">
        <f>'Stavební rozpočet'!C8</f>
        <v xml:space="preserve"> </v>
      </c>
      <c r="D10" s="58"/>
      <c r="E10" s="61" t="s">
        <v>20</v>
      </c>
      <c r="F10" s="61" t="str">
        <f>'Stavební rozpočet'!I8</f>
        <v>Ing. Lukáš Doležal</v>
      </c>
      <c r="G10" s="58"/>
      <c r="H10" s="58" t="s">
        <v>526</v>
      </c>
      <c r="I10" s="84" t="str">
        <f>'Stavební rozpočet'!G8</f>
        <v>31.05.2025</v>
      </c>
    </row>
    <row r="11" spans="1:9" ht="14.4" x14ac:dyDescent="0.3">
      <c r="A11" s="89"/>
      <c r="B11" s="81"/>
      <c r="C11" s="81"/>
      <c r="D11" s="81"/>
      <c r="E11" s="81"/>
      <c r="F11" s="81"/>
      <c r="G11" s="81"/>
      <c r="H11" s="81"/>
      <c r="I11" s="85"/>
    </row>
    <row r="12" spans="1:9" ht="22.8" x14ac:dyDescent="0.3">
      <c r="A12" s="86" t="s">
        <v>527</v>
      </c>
      <c r="B12" s="86"/>
      <c r="C12" s="86"/>
      <c r="D12" s="86"/>
      <c r="E12" s="86"/>
      <c r="F12" s="86"/>
      <c r="G12" s="86"/>
      <c r="H12" s="86"/>
      <c r="I12" s="86"/>
    </row>
    <row r="13" spans="1:9" ht="26.25" customHeight="1" x14ac:dyDescent="0.3">
      <c r="A13" s="6" t="s">
        <v>528</v>
      </c>
      <c r="B13" s="87" t="s">
        <v>529</v>
      </c>
      <c r="C13" s="88"/>
      <c r="D13" s="7" t="s">
        <v>530</v>
      </c>
      <c r="E13" s="87" t="s">
        <v>531</v>
      </c>
      <c r="F13" s="88"/>
      <c r="G13" s="7" t="s">
        <v>532</v>
      </c>
      <c r="H13" s="87" t="s">
        <v>533</v>
      </c>
      <c r="I13" s="88"/>
    </row>
    <row r="14" spans="1:9" ht="15.6" x14ac:dyDescent="0.3">
      <c r="A14" s="8" t="s">
        <v>534</v>
      </c>
      <c r="B14" s="9" t="s">
        <v>535</v>
      </c>
      <c r="C14" s="47">
        <f>SUM('Stavební rozpočet'!AB12:AB332)</f>
        <v>0</v>
      </c>
      <c r="D14" s="96" t="s">
        <v>536</v>
      </c>
      <c r="E14" s="97"/>
      <c r="F14" s="47">
        <f>VORN!I15</f>
        <v>0</v>
      </c>
      <c r="G14" s="96" t="s">
        <v>537</v>
      </c>
      <c r="H14" s="97"/>
      <c r="I14" s="48">
        <f>VORN!I21</f>
        <v>0</v>
      </c>
    </row>
    <row r="15" spans="1:9" ht="15.6" x14ac:dyDescent="0.3">
      <c r="A15" s="10" t="s">
        <v>51</v>
      </c>
      <c r="B15" s="9" t="s">
        <v>36</v>
      </c>
      <c r="C15" s="47">
        <f>SUM('Stavební rozpočet'!AC12:AC332)</f>
        <v>0</v>
      </c>
      <c r="D15" s="96" t="s">
        <v>538</v>
      </c>
      <c r="E15" s="97"/>
      <c r="F15" s="47">
        <f>VORN!I16</f>
        <v>0</v>
      </c>
      <c r="G15" s="96" t="s">
        <v>539</v>
      </c>
      <c r="H15" s="97"/>
      <c r="I15" s="48">
        <f>VORN!I22</f>
        <v>0</v>
      </c>
    </row>
    <row r="16" spans="1:9" ht="15.6" x14ac:dyDescent="0.3">
      <c r="A16" s="8" t="s">
        <v>540</v>
      </c>
      <c r="B16" s="9" t="s">
        <v>535</v>
      </c>
      <c r="C16" s="47">
        <f>SUM('Stavební rozpočet'!AD12:AD332)</f>
        <v>0</v>
      </c>
      <c r="D16" s="96" t="s">
        <v>541</v>
      </c>
      <c r="E16" s="97"/>
      <c r="F16" s="47">
        <f>VORN!I17</f>
        <v>0</v>
      </c>
      <c r="G16" s="96" t="s">
        <v>542</v>
      </c>
      <c r="H16" s="97"/>
      <c r="I16" s="48">
        <f>VORN!I23</f>
        <v>0</v>
      </c>
    </row>
    <row r="17" spans="1:9" ht="15.6" x14ac:dyDescent="0.3">
      <c r="A17" s="10" t="s">
        <v>51</v>
      </c>
      <c r="B17" s="9" t="s">
        <v>36</v>
      </c>
      <c r="C17" s="47">
        <f>SUM('Stavební rozpočet'!AE12:AE332)</f>
        <v>0</v>
      </c>
      <c r="D17" s="96" t="s">
        <v>51</v>
      </c>
      <c r="E17" s="97"/>
      <c r="F17" s="48" t="s">
        <v>51</v>
      </c>
      <c r="G17" s="96" t="s">
        <v>287</v>
      </c>
      <c r="H17" s="97"/>
      <c r="I17" s="48">
        <f>VORN!I24</f>
        <v>0</v>
      </c>
    </row>
    <row r="18" spans="1:9" ht="15.6" x14ac:dyDescent="0.3">
      <c r="A18" s="8" t="s">
        <v>543</v>
      </c>
      <c r="B18" s="9" t="s">
        <v>535</v>
      </c>
      <c r="C18" s="47">
        <f>SUM('Stavební rozpočet'!AF12:AF332)</f>
        <v>0</v>
      </c>
      <c r="D18" s="96" t="s">
        <v>51</v>
      </c>
      <c r="E18" s="97"/>
      <c r="F18" s="48" t="s">
        <v>51</v>
      </c>
      <c r="G18" s="96" t="s">
        <v>544</v>
      </c>
      <c r="H18" s="97"/>
      <c r="I18" s="48">
        <f>VORN!I25</f>
        <v>0</v>
      </c>
    </row>
    <row r="19" spans="1:9" ht="15.6" x14ac:dyDescent="0.3">
      <c r="A19" s="10" t="s">
        <v>51</v>
      </c>
      <c r="B19" s="9" t="s">
        <v>36</v>
      </c>
      <c r="C19" s="47">
        <f>SUM('Stavební rozpočet'!AG12:AG332)</f>
        <v>0</v>
      </c>
      <c r="D19" s="96" t="s">
        <v>51</v>
      </c>
      <c r="E19" s="97"/>
      <c r="F19" s="48" t="s">
        <v>51</v>
      </c>
      <c r="G19" s="96" t="s">
        <v>545</v>
      </c>
      <c r="H19" s="97"/>
      <c r="I19" s="48">
        <f>VORN!I26</f>
        <v>0</v>
      </c>
    </row>
    <row r="20" spans="1:9" ht="15.6" x14ac:dyDescent="0.3">
      <c r="A20" s="90" t="s">
        <v>511</v>
      </c>
      <c r="B20" s="91"/>
      <c r="C20" s="47">
        <f>SUM('Stavební rozpočet'!AH12:AH332)</f>
        <v>0</v>
      </c>
      <c r="D20" s="96" t="s">
        <v>51</v>
      </c>
      <c r="E20" s="97"/>
      <c r="F20" s="48" t="s">
        <v>51</v>
      </c>
      <c r="G20" s="96" t="s">
        <v>51</v>
      </c>
      <c r="H20" s="97"/>
      <c r="I20" s="48" t="s">
        <v>51</v>
      </c>
    </row>
    <row r="21" spans="1:9" ht="15.6" x14ac:dyDescent="0.3">
      <c r="A21" s="92" t="s">
        <v>546</v>
      </c>
      <c r="B21" s="93"/>
      <c r="C21" s="49">
        <f>SUM('Stavební rozpočet'!Z12:Z332)</f>
        <v>0</v>
      </c>
      <c r="D21" s="98" t="s">
        <v>51</v>
      </c>
      <c r="E21" s="99"/>
      <c r="F21" s="50" t="s">
        <v>51</v>
      </c>
      <c r="G21" s="98" t="s">
        <v>51</v>
      </c>
      <c r="H21" s="99"/>
      <c r="I21" s="50" t="s">
        <v>51</v>
      </c>
    </row>
    <row r="22" spans="1:9" ht="16.5" customHeight="1" x14ac:dyDescent="0.3">
      <c r="A22" s="94" t="s">
        <v>547</v>
      </c>
      <c r="B22" s="95"/>
      <c r="C22" s="11">
        <f>ROUND(SUM(C14:C21),2)</f>
        <v>0</v>
      </c>
      <c r="D22" s="100" t="s">
        <v>548</v>
      </c>
      <c r="E22" s="95"/>
      <c r="F22" s="11">
        <f>SUM(F14:F21)</f>
        <v>0</v>
      </c>
      <c r="G22" s="100" t="s">
        <v>549</v>
      </c>
      <c r="H22" s="95"/>
      <c r="I22" s="11">
        <f>SUM(I14:I21)</f>
        <v>0</v>
      </c>
    </row>
    <row r="23" spans="1:9" ht="15.6" x14ac:dyDescent="0.3">
      <c r="D23" s="90" t="s">
        <v>550</v>
      </c>
      <c r="E23" s="91"/>
      <c r="F23" s="51">
        <v>0</v>
      </c>
      <c r="G23" s="101" t="s">
        <v>551</v>
      </c>
      <c r="H23" s="91"/>
      <c r="I23" s="47">
        <v>0</v>
      </c>
    </row>
    <row r="24" spans="1:9" ht="15.6" x14ac:dyDescent="0.3">
      <c r="G24" s="90" t="s">
        <v>552</v>
      </c>
      <c r="H24" s="91"/>
      <c r="I24" s="49">
        <f>vorn_sum</f>
        <v>0</v>
      </c>
    </row>
    <row r="25" spans="1:9" ht="15.6" x14ac:dyDescent="0.3">
      <c r="G25" s="90" t="s">
        <v>553</v>
      </c>
      <c r="H25" s="91"/>
      <c r="I25" s="11">
        <v>0</v>
      </c>
    </row>
    <row r="27" spans="1:9" ht="15.6" x14ac:dyDescent="0.3">
      <c r="A27" s="102" t="s">
        <v>554</v>
      </c>
      <c r="B27" s="103"/>
      <c r="C27" s="52">
        <f>ROUND(SUM('Stavební rozpočet'!AJ12:AJ332),2)</f>
        <v>0</v>
      </c>
    </row>
    <row r="28" spans="1:9" ht="15.6" x14ac:dyDescent="0.3">
      <c r="A28" s="104" t="s">
        <v>555</v>
      </c>
      <c r="B28" s="105"/>
      <c r="C28" s="12">
        <f>ROUND(SUM('Stavební rozpočet'!AK12:AK332),2)</f>
        <v>0</v>
      </c>
      <c r="D28" s="103" t="s">
        <v>556</v>
      </c>
      <c r="E28" s="103"/>
      <c r="F28" s="52">
        <f>ROUND(C28*(12/100),2)</f>
        <v>0</v>
      </c>
      <c r="G28" s="103" t="s">
        <v>557</v>
      </c>
      <c r="H28" s="103"/>
      <c r="I28" s="52">
        <f>ROUND(SUM(C27:C29),2)</f>
        <v>0</v>
      </c>
    </row>
    <row r="29" spans="1:9" ht="15.6" x14ac:dyDescent="0.3">
      <c r="A29" s="104" t="s">
        <v>558</v>
      </c>
      <c r="B29" s="105"/>
      <c r="C29" s="12">
        <f>ROUND(SUM('Stavební rozpočet'!AL12:AL332),2)</f>
        <v>0</v>
      </c>
      <c r="D29" s="105" t="s">
        <v>559</v>
      </c>
      <c r="E29" s="105"/>
      <c r="F29" s="12">
        <f>ROUND(C29*(21/100),2)</f>
        <v>0</v>
      </c>
      <c r="G29" s="105" t="s">
        <v>560</v>
      </c>
      <c r="H29" s="105"/>
      <c r="I29" s="12">
        <f>ROUND(SUM(F28:F29)+I28,2)</f>
        <v>0</v>
      </c>
    </row>
    <row r="31" spans="1:9" x14ac:dyDescent="0.3">
      <c r="A31" s="111" t="s">
        <v>561</v>
      </c>
      <c r="B31" s="106"/>
      <c r="C31" s="107"/>
      <c r="D31" s="106" t="s">
        <v>562</v>
      </c>
      <c r="E31" s="106"/>
      <c r="F31" s="107"/>
      <c r="G31" s="106" t="s">
        <v>563</v>
      </c>
      <c r="H31" s="106"/>
      <c r="I31" s="107"/>
    </row>
    <row r="32" spans="1:9" x14ac:dyDescent="0.3">
      <c r="A32" s="112" t="s">
        <v>51</v>
      </c>
      <c r="B32" s="98"/>
      <c r="C32" s="108"/>
      <c r="D32" s="98" t="s">
        <v>51</v>
      </c>
      <c r="E32" s="98"/>
      <c r="F32" s="108"/>
      <c r="G32" s="98" t="s">
        <v>51</v>
      </c>
      <c r="H32" s="98"/>
      <c r="I32" s="108"/>
    </row>
    <row r="33" spans="1:9" x14ac:dyDescent="0.3">
      <c r="A33" s="112" t="s">
        <v>51</v>
      </c>
      <c r="B33" s="98"/>
      <c r="C33" s="108"/>
      <c r="D33" s="98" t="s">
        <v>51</v>
      </c>
      <c r="E33" s="98"/>
      <c r="F33" s="108"/>
      <c r="G33" s="98" t="s">
        <v>51</v>
      </c>
      <c r="H33" s="98"/>
      <c r="I33" s="108"/>
    </row>
    <row r="34" spans="1:9" x14ac:dyDescent="0.3">
      <c r="A34" s="112" t="s">
        <v>51</v>
      </c>
      <c r="B34" s="98"/>
      <c r="C34" s="108"/>
      <c r="D34" s="98" t="s">
        <v>51</v>
      </c>
      <c r="E34" s="98"/>
      <c r="F34" s="108"/>
      <c r="G34" s="98" t="s">
        <v>51</v>
      </c>
      <c r="H34" s="98"/>
      <c r="I34" s="108"/>
    </row>
    <row r="35" spans="1:9" x14ac:dyDescent="0.3">
      <c r="A35" s="113" t="s">
        <v>564</v>
      </c>
      <c r="B35" s="109"/>
      <c r="C35" s="110"/>
      <c r="D35" s="109" t="s">
        <v>564</v>
      </c>
      <c r="E35" s="109"/>
      <c r="F35" s="110"/>
      <c r="G35" s="109" t="s">
        <v>564</v>
      </c>
      <c r="H35" s="109"/>
      <c r="I35" s="110"/>
    </row>
    <row r="36" spans="1:9" ht="14.4" x14ac:dyDescent="0.3">
      <c r="A36" s="46" t="s">
        <v>519</v>
      </c>
    </row>
    <row r="37" spans="1:9" ht="40.5" customHeight="1" x14ac:dyDescent="0.3">
      <c r="A37" s="61" t="s">
        <v>565</v>
      </c>
      <c r="B37" s="58"/>
      <c r="C37" s="58"/>
      <c r="D37" s="58"/>
      <c r="E37" s="58"/>
      <c r="F37" s="58"/>
      <c r="G37" s="58"/>
      <c r="H37" s="58"/>
      <c r="I37" s="58"/>
    </row>
  </sheetData>
  <sheetProtection password="C7EB" sheet="1"/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A10:B11"/>
    <mergeCell ref="H2:H3"/>
    <mergeCell ref="H4:H5"/>
    <mergeCell ref="H6:H7"/>
    <mergeCell ref="H8:H9"/>
    <mergeCell ref="H10:H11"/>
    <mergeCell ref="C8:D9"/>
    <mergeCell ref="C10:D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</mergeCells>
  <pageMargins left="0.393999993801117" right="0.393999993801117" top="0.59100002050399802" bottom="0.59100002050399802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5"/>
  <sheetViews>
    <sheetView workbookViewId="0">
      <selection activeCell="A45" sqref="A45:E45"/>
    </sheetView>
  </sheetViews>
  <sheetFormatPr defaultColWidth="12.109375" defaultRowHeight="15" customHeight="1" x14ac:dyDescent="0.3"/>
  <cols>
    <col min="1" max="1" width="9.109375" customWidth="1"/>
    <col min="2" max="2" width="12.88671875" customWidth="1"/>
    <col min="3" max="3" width="22.88671875" customWidth="1"/>
    <col min="4" max="4" width="10" customWidth="1"/>
    <col min="5" max="5" width="14" customWidth="1"/>
    <col min="6" max="6" width="22.88671875" customWidth="1"/>
    <col min="7" max="7" width="9.109375" customWidth="1"/>
    <col min="8" max="8" width="17.109375" customWidth="1"/>
    <col min="9" max="9" width="22.88671875" customWidth="1"/>
  </cols>
  <sheetData>
    <row r="1" spans="1:9" ht="54.75" customHeight="1" x14ac:dyDescent="0.3">
      <c r="A1" s="82" t="s">
        <v>274</v>
      </c>
      <c r="B1" s="54"/>
      <c r="C1" s="54"/>
      <c r="D1" s="54"/>
      <c r="E1" s="54"/>
      <c r="F1" s="54"/>
      <c r="G1" s="54"/>
      <c r="H1" s="54"/>
      <c r="I1" s="54"/>
    </row>
    <row r="2" spans="1:9" ht="14.4" x14ac:dyDescent="0.3">
      <c r="A2" s="55" t="s">
        <v>1</v>
      </c>
      <c r="B2" s="56"/>
      <c r="C2" s="62" t="str">
        <f>'Stavební rozpočet'!C2</f>
        <v>VÝMĚNA ROZVODU ZTI V HALE RONDO, BRNO</v>
      </c>
      <c r="D2" s="63"/>
      <c r="E2" s="60" t="s">
        <v>5</v>
      </c>
      <c r="F2" s="60" t="str">
        <f>'Stavební rozpočet'!I2</f>
        <v>STAREZ – SPORT, a.s.</v>
      </c>
      <c r="G2" s="56"/>
      <c r="H2" s="60" t="s">
        <v>522</v>
      </c>
      <c r="I2" s="65" t="s">
        <v>523</v>
      </c>
    </row>
    <row r="3" spans="1:9" ht="15" customHeight="1" x14ac:dyDescent="0.3">
      <c r="A3" s="57"/>
      <c r="B3" s="58"/>
      <c r="C3" s="64"/>
      <c r="D3" s="64"/>
      <c r="E3" s="58"/>
      <c r="F3" s="58"/>
      <c r="G3" s="58"/>
      <c r="H3" s="58"/>
      <c r="I3" s="66"/>
    </row>
    <row r="4" spans="1:9" ht="14.4" x14ac:dyDescent="0.3">
      <c r="A4" s="59" t="s">
        <v>7</v>
      </c>
      <c r="B4" s="58"/>
      <c r="C4" s="61" t="str">
        <f>'Stavební rozpočet'!C4</f>
        <v>DOKUMENTACE PROVEDENÍ STAVBY</v>
      </c>
      <c r="D4" s="58"/>
      <c r="E4" s="61" t="s">
        <v>10</v>
      </c>
      <c r="F4" s="61" t="str">
        <f>'Stavební rozpočet'!I4</f>
        <v>ING. LUKÁŠ DOLEŽAL</v>
      </c>
      <c r="G4" s="58"/>
      <c r="H4" s="61" t="s">
        <v>522</v>
      </c>
      <c r="I4" s="66" t="s">
        <v>524</v>
      </c>
    </row>
    <row r="5" spans="1:9" ht="15" customHeight="1" x14ac:dyDescent="0.3">
      <c r="A5" s="57"/>
      <c r="B5" s="58"/>
      <c r="C5" s="58"/>
      <c r="D5" s="58"/>
      <c r="E5" s="58"/>
      <c r="F5" s="58"/>
      <c r="G5" s="58"/>
      <c r="H5" s="58"/>
      <c r="I5" s="66"/>
    </row>
    <row r="6" spans="1:9" ht="14.4" x14ac:dyDescent="0.3">
      <c r="A6" s="59" t="s">
        <v>12</v>
      </c>
      <c r="B6" s="58"/>
      <c r="C6" s="61" t="str">
        <f>'Stavební rozpočet'!C6</f>
        <v>Křídlovická 911/34, 60300 Brno - Staré Brno, Česko</v>
      </c>
      <c r="D6" s="58"/>
      <c r="E6" s="61" t="s">
        <v>15</v>
      </c>
      <c r="F6" s="61" t="str">
        <f>'Stavební rozpočet'!I6</f>
        <v>dle výběrového řízení</v>
      </c>
      <c r="G6" s="58"/>
      <c r="H6" s="61" t="s">
        <v>522</v>
      </c>
      <c r="I6" s="66" t="s">
        <v>51</v>
      </c>
    </row>
    <row r="7" spans="1:9" ht="15" customHeight="1" x14ac:dyDescent="0.3">
      <c r="A7" s="57"/>
      <c r="B7" s="58"/>
      <c r="C7" s="58"/>
      <c r="D7" s="58"/>
      <c r="E7" s="58"/>
      <c r="F7" s="58"/>
      <c r="G7" s="58"/>
      <c r="H7" s="58"/>
      <c r="I7" s="66"/>
    </row>
    <row r="8" spans="1:9" ht="14.4" x14ac:dyDescent="0.3">
      <c r="A8" s="59" t="s">
        <v>9</v>
      </c>
      <c r="B8" s="58"/>
      <c r="C8" s="61">
        <f>'Stavební rozpočet'!G4</f>
        <v>0</v>
      </c>
      <c r="D8" s="58"/>
      <c r="E8" s="61" t="s">
        <v>14</v>
      </c>
      <c r="F8" s="61" t="str">
        <f>'Stavební rozpočet'!G6</f>
        <v xml:space="preserve"> </v>
      </c>
      <c r="G8" s="58"/>
      <c r="H8" s="58" t="s">
        <v>525</v>
      </c>
      <c r="I8" s="83">
        <v>122</v>
      </c>
    </row>
    <row r="9" spans="1:9" ht="14.4" x14ac:dyDescent="0.3">
      <c r="A9" s="57"/>
      <c r="B9" s="58"/>
      <c r="C9" s="58"/>
      <c r="D9" s="58"/>
      <c r="E9" s="58"/>
      <c r="F9" s="58"/>
      <c r="G9" s="58"/>
      <c r="H9" s="58"/>
      <c r="I9" s="66"/>
    </row>
    <row r="10" spans="1:9" ht="14.4" x14ac:dyDescent="0.3">
      <c r="A10" s="59" t="s">
        <v>17</v>
      </c>
      <c r="B10" s="58"/>
      <c r="C10" s="61" t="str">
        <f>'Stavební rozpočet'!C8</f>
        <v xml:space="preserve"> </v>
      </c>
      <c r="D10" s="58"/>
      <c r="E10" s="61" t="s">
        <v>20</v>
      </c>
      <c r="F10" s="61" t="str">
        <f>'Stavební rozpočet'!I8</f>
        <v>Ing. Lukáš Doležal</v>
      </c>
      <c r="G10" s="58"/>
      <c r="H10" s="58" t="s">
        <v>526</v>
      </c>
      <c r="I10" s="84" t="str">
        <f>'Stavební rozpočet'!G8</f>
        <v>31.05.2025</v>
      </c>
    </row>
    <row r="11" spans="1:9" ht="14.4" x14ac:dyDescent="0.3">
      <c r="A11" s="89"/>
      <c r="B11" s="81"/>
      <c r="C11" s="81"/>
      <c r="D11" s="81"/>
      <c r="E11" s="81"/>
      <c r="F11" s="81"/>
      <c r="G11" s="81"/>
      <c r="H11" s="81"/>
      <c r="I11" s="85"/>
    </row>
    <row r="13" spans="1:9" ht="15.6" x14ac:dyDescent="0.3">
      <c r="A13" s="114" t="s">
        <v>566</v>
      </c>
      <c r="B13" s="114"/>
      <c r="C13" s="114"/>
      <c r="D13" s="114"/>
      <c r="E13" s="114"/>
    </row>
    <row r="14" spans="1:9" ht="14.4" x14ac:dyDescent="0.3">
      <c r="A14" s="115" t="s">
        <v>567</v>
      </c>
      <c r="B14" s="116"/>
      <c r="C14" s="116"/>
      <c r="D14" s="116"/>
      <c r="E14" s="117"/>
      <c r="F14" s="13" t="s">
        <v>568</v>
      </c>
      <c r="G14" s="13" t="s">
        <v>569</v>
      </c>
      <c r="H14" s="13" t="s">
        <v>570</v>
      </c>
      <c r="I14" s="13" t="s">
        <v>568</v>
      </c>
    </row>
    <row r="15" spans="1:9" ht="14.4" x14ac:dyDescent="0.3">
      <c r="A15" s="89" t="s">
        <v>536</v>
      </c>
      <c r="B15" s="81"/>
      <c r="C15" s="81"/>
      <c r="D15" s="81"/>
      <c r="E15" s="85"/>
      <c r="F15" s="53">
        <v>0</v>
      </c>
      <c r="G15" s="16" t="s">
        <v>51</v>
      </c>
      <c r="H15" s="16" t="s">
        <v>51</v>
      </c>
      <c r="I15" s="53">
        <f>F15</f>
        <v>0</v>
      </c>
    </row>
    <row r="16" spans="1:9" ht="14.4" x14ac:dyDescent="0.3">
      <c r="A16" s="89" t="s">
        <v>538</v>
      </c>
      <c r="B16" s="81"/>
      <c r="C16" s="81"/>
      <c r="D16" s="81"/>
      <c r="E16" s="85"/>
      <c r="F16" s="53">
        <v>0</v>
      </c>
      <c r="G16" s="16" t="s">
        <v>51</v>
      </c>
      <c r="H16" s="16" t="s">
        <v>51</v>
      </c>
      <c r="I16" s="53">
        <f>F16</f>
        <v>0</v>
      </c>
    </row>
    <row r="17" spans="1:9" ht="14.4" x14ac:dyDescent="0.3">
      <c r="A17" s="57" t="s">
        <v>541</v>
      </c>
      <c r="B17" s="58"/>
      <c r="C17" s="58"/>
      <c r="D17" s="58"/>
      <c r="E17" s="66"/>
      <c r="F17" s="19">
        <v>0</v>
      </c>
      <c r="G17" s="20" t="s">
        <v>51</v>
      </c>
      <c r="H17" s="20" t="s">
        <v>51</v>
      </c>
      <c r="I17" s="19">
        <f>F17</f>
        <v>0</v>
      </c>
    </row>
    <row r="18" spans="1:9" ht="14.4" x14ac:dyDescent="0.3">
      <c r="A18" s="118" t="s">
        <v>571</v>
      </c>
      <c r="B18" s="119"/>
      <c r="C18" s="119"/>
      <c r="D18" s="119"/>
      <c r="E18" s="120"/>
      <c r="F18" s="21" t="s">
        <v>51</v>
      </c>
      <c r="G18" s="22" t="s">
        <v>51</v>
      </c>
      <c r="H18" s="22" t="s">
        <v>51</v>
      </c>
      <c r="I18" s="23">
        <f>SUM(I15:I17)</f>
        <v>0</v>
      </c>
    </row>
    <row r="20" spans="1:9" ht="14.4" x14ac:dyDescent="0.3">
      <c r="A20" s="115" t="s">
        <v>533</v>
      </c>
      <c r="B20" s="116"/>
      <c r="C20" s="116"/>
      <c r="D20" s="116"/>
      <c r="E20" s="117"/>
      <c r="F20" s="13" t="s">
        <v>568</v>
      </c>
      <c r="G20" s="13" t="s">
        <v>569</v>
      </c>
      <c r="H20" s="13" t="s">
        <v>570</v>
      </c>
      <c r="I20" s="13" t="s">
        <v>568</v>
      </c>
    </row>
    <row r="21" spans="1:9" ht="14.4" x14ac:dyDescent="0.3">
      <c r="A21" s="89" t="s">
        <v>537</v>
      </c>
      <c r="B21" s="81"/>
      <c r="C21" s="81"/>
      <c r="D21" s="81"/>
      <c r="E21" s="85"/>
      <c r="F21" s="53">
        <v>0</v>
      </c>
      <c r="G21" s="16" t="s">
        <v>51</v>
      </c>
      <c r="H21" s="16" t="s">
        <v>51</v>
      </c>
      <c r="I21" s="53">
        <f t="shared" ref="I21:I26" si="0">F21</f>
        <v>0</v>
      </c>
    </row>
    <row r="22" spans="1:9" ht="14.4" x14ac:dyDescent="0.3">
      <c r="A22" s="89" t="s">
        <v>539</v>
      </c>
      <c r="B22" s="81"/>
      <c r="C22" s="81"/>
      <c r="D22" s="81"/>
      <c r="E22" s="85"/>
      <c r="F22" s="53">
        <v>0</v>
      </c>
      <c r="G22" s="16" t="s">
        <v>51</v>
      </c>
      <c r="H22" s="16" t="s">
        <v>51</v>
      </c>
      <c r="I22" s="53">
        <f t="shared" si="0"/>
        <v>0</v>
      </c>
    </row>
    <row r="23" spans="1:9" ht="14.4" x14ac:dyDescent="0.3">
      <c r="A23" s="89" t="s">
        <v>542</v>
      </c>
      <c r="B23" s="81"/>
      <c r="C23" s="81"/>
      <c r="D23" s="81"/>
      <c r="E23" s="85"/>
      <c r="F23" s="53">
        <v>0</v>
      </c>
      <c r="G23" s="16" t="s">
        <v>51</v>
      </c>
      <c r="H23" s="16" t="s">
        <v>51</v>
      </c>
      <c r="I23" s="53">
        <f t="shared" si="0"/>
        <v>0</v>
      </c>
    </row>
    <row r="24" spans="1:9" ht="14.4" x14ac:dyDescent="0.3">
      <c r="A24" s="89" t="s">
        <v>287</v>
      </c>
      <c r="B24" s="81"/>
      <c r="C24" s="81"/>
      <c r="D24" s="81"/>
      <c r="E24" s="85"/>
      <c r="F24" s="53">
        <v>0</v>
      </c>
      <c r="G24" s="16" t="s">
        <v>51</v>
      </c>
      <c r="H24" s="16" t="s">
        <v>51</v>
      </c>
      <c r="I24" s="53">
        <f t="shared" si="0"/>
        <v>0</v>
      </c>
    </row>
    <row r="25" spans="1:9" ht="14.4" x14ac:dyDescent="0.3">
      <c r="A25" s="89" t="s">
        <v>544</v>
      </c>
      <c r="B25" s="81"/>
      <c r="C25" s="81"/>
      <c r="D25" s="81"/>
      <c r="E25" s="85"/>
      <c r="F25" s="53">
        <v>0</v>
      </c>
      <c r="G25" s="16" t="s">
        <v>51</v>
      </c>
      <c r="H25" s="16" t="s">
        <v>51</v>
      </c>
      <c r="I25" s="53">
        <f t="shared" si="0"/>
        <v>0</v>
      </c>
    </row>
    <row r="26" spans="1:9" ht="14.4" x14ac:dyDescent="0.3">
      <c r="A26" s="57" t="s">
        <v>545</v>
      </c>
      <c r="B26" s="58"/>
      <c r="C26" s="58"/>
      <c r="D26" s="58"/>
      <c r="E26" s="66"/>
      <c r="F26" s="19">
        <v>0</v>
      </c>
      <c r="G26" s="20" t="s">
        <v>51</v>
      </c>
      <c r="H26" s="20" t="s">
        <v>51</v>
      </c>
      <c r="I26" s="19">
        <f t="shared" si="0"/>
        <v>0</v>
      </c>
    </row>
    <row r="27" spans="1:9" ht="14.4" x14ac:dyDescent="0.3">
      <c r="A27" s="118" t="s">
        <v>572</v>
      </c>
      <c r="B27" s="119"/>
      <c r="C27" s="119"/>
      <c r="D27" s="119"/>
      <c r="E27" s="120"/>
      <c r="F27" s="21" t="s">
        <v>51</v>
      </c>
      <c r="G27" s="22" t="s">
        <v>51</v>
      </c>
      <c r="H27" s="22" t="s">
        <v>51</v>
      </c>
      <c r="I27" s="23">
        <f>SUM(I21:I26)</f>
        <v>0</v>
      </c>
    </row>
    <row r="29" spans="1:9" ht="15.6" x14ac:dyDescent="0.3">
      <c r="A29" s="121" t="s">
        <v>573</v>
      </c>
      <c r="B29" s="122"/>
      <c r="C29" s="122"/>
      <c r="D29" s="122"/>
      <c r="E29" s="123"/>
      <c r="F29" s="124">
        <f>I18+I27</f>
        <v>0</v>
      </c>
      <c r="G29" s="125"/>
      <c r="H29" s="125"/>
      <c r="I29" s="126"/>
    </row>
    <row r="33" spans="1:9" ht="15.6" x14ac:dyDescent="0.3">
      <c r="A33" s="114" t="s">
        <v>574</v>
      </c>
      <c r="B33" s="114"/>
      <c r="C33" s="114"/>
      <c r="D33" s="114"/>
      <c r="E33" s="114"/>
    </row>
    <row r="34" spans="1:9" ht="14.4" x14ac:dyDescent="0.3">
      <c r="A34" s="115" t="s">
        <v>575</v>
      </c>
      <c r="B34" s="116"/>
      <c r="C34" s="116"/>
      <c r="D34" s="116"/>
      <c r="E34" s="117"/>
      <c r="F34" s="13" t="s">
        <v>568</v>
      </c>
      <c r="G34" s="13" t="s">
        <v>569</v>
      </c>
      <c r="H34" s="13" t="s">
        <v>570</v>
      </c>
      <c r="I34" s="13" t="s">
        <v>568</v>
      </c>
    </row>
    <row r="35" spans="1:9" ht="14.4" x14ac:dyDescent="0.3">
      <c r="A35" s="89" t="s">
        <v>276</v>
      </c>
      <c r="B35" s="81"/>
      <c r="C35" s="81"/>
      <c r="D35" s="81"/>
      <c r="E35" s="85"/>
      <c r="F35" s="53">
        <f>SUM('Stavební rozpočet'!BM12:BM332)</f>
        <v>0</v>
      </c>
      <c r="G35" s="16" t="s">
        <v>51</v>
      </c>
      <c r="H35" s="16" t="s">
        <v>51</v>
      </c>
      <c r="I35" s="53">
        <f t="shared" ref="I35:I44" si="1">F35</f>
        <v>0</v>
      </c>
    </row>
    <row r="36" spans="1:9" ht="14.4" x14ac:dyDescent="0.3">
      <c r="A36" s="89" t="s">
        <v>576</v>
      </c>
      <c r="B36" s="81"/>
      <c r="C36" s="81"/>
      <c r="D36" s="81"/>
      <c r="E36" s="85"/>
      <c r="F36" s="53">
        <f>SUM('Stavební rozpočet'!BN12:BN332)</f>
        <v>0</v>
      </c>
      <c r="G36" s="16" t="s">
        <v>51</v>
      </c>
      <c r="H36" s="16" t="s">
        <v>51</v>
      </c>
      <c r="I36" s="53">
        <f t="shared" si="1"/>
        <v>0</v>
      </c>
    </row>
    <row r="37" spans="1:9" ht="14.4" x14ac:dyDescent="0.3">
      <c r="A37" s="89" t="s">
        <v>537</v>
      </c>
      <c r="B37" s="81"/>
      <c r="C37" s="81"/>
      <c r="D37" s="81"/>
      <c r="E37" s="85"/>
      <c r="F37" s="53">
        <f>SUM('Stavební rozpočet'!BO12:BO332)</f>
        <v>0</v>
      </c>
      <c r="G37" s="16" t="s">
        <v>51</v>
      </c>
      <c r="H37" s="16" t="s">
        <v>51</v>
      </c>
      <c r="I37" s="53">
        <f t="shared" si="1"/>
        <v>0</v>
      </c>
    </row>
    <row r="38" spans="1:9" ht="14.4" x14ac:dyDescent="0.3">
      <c r="A38" s="89" t="s">
        <v>577</v>
      </c>
      <c r="B38" s="81"/>
      <c r="C38" s="81"/>
      <c r="D38" s="81"/>
      <c r="E38" s="85"/>
      <c r="F38" s="53">
        <f>SUM('Stavební rozpočet'!BP12:BP332)</f>
        <v>0</v>
      </c>
      <c r="G38" s="16" t="s">
        <v>51</v>
      </c>
      <c r="H38" s="16" t="s">
        <v>51</v>
      </c>
      <c r="I38" s="53">
        <f t="shared" si="1"/>
        <v>0</v>
      </c>
    </row>
    <row r="39" spans="1:9" ht="14.4" x14ac:dyDescent="0.3">
      <c r="A39" s="89" t="s">
        <v>578</v>
      </c>
      <c r="B39" s="81"/>
      <c r="C39" s="81"/>
      <c r="D39" s="81"/>
      <c r="E39" s="85"/>
      <c r="F39" s="53">
        <f>SUM('Stavební rozpočet'!BQ12:BQ332)</f>
        <v>0</v>
      </c>
      <c r="G39" s="16" t="s">
        <v>51</v>
      </c>
      <c r="H39" s="16" t="s">
        <v>51</v>
      </c>
      <c r="I39" s="53">
        <f t="shared" si="1"/>
        <v>0</v>
      </c>
    </row>
    <row r="40" spans="1:9" ht="14.4" x14ac:dyDescent="0.3">
      <c r="A40" s="89" t="s">
        <v>542</v>
      </c>
      <c r="B40" s="81"/>
      <c r="C40" s="81"/>
      <c r="D40" s="81"/>
      <c r="E40" s="85"/>
      <c r="F40" s="53">
        <f>SUM('Stavební rozpočet'!BR12:BR332)</f>
        <v>0</v>
      </c>
      <c r="G40" s="16" t="s">
        <v>51</v>
      </c>
      <c r="H40" s="16" t="s">
        <v>51</v>
      </c>
      <c r="I40" s="53">
        <f t="shared" si="1"/>
        <v>0</v>
      </c>
    </row>
    <row r="41" spans="1:9" ht="14.4" x14ac:dyDescent="0.3">
      <c r="A41" s="89" t="s">
        <v>287</v>
      </c>
      <c r="B41" s="81"/>
      <c r="C41" s="81"/>
      <c r="D41" s="81"/>
      <c r="E41" s="85"/>
      <c r="F41" s="53">
        <f>SUM('Stavební rozpočet'!BS12:BS332)</f>
        <v>0</v>
      </c>
      <c r="G41" s="16" t="s">
        <v>51</v>
      </c>
      <c r="H41" s="16" t="s">
        <v>51</v>
      </c>
      <c r="I41" s="53">
        <f t="shared" si="1"/>
        <v>0</v>
      </c>
    </row>
    <row r="42" spans="1:9" ht="14.4" x14ac:dyDescent="0.3">
      <c r="A42" s="89" t="s">
        <v>579</v>
      </c>
      <c r="B42" s="81"/>
      <c r="C42" s="81"/>
      <c r="D42" s="81"/>
      <c r="E42" s="85"/>
      <c r="F42" s="53">
        <f>SUM('Stavební rozpočet'!BT12:BT332)</f>
        <v>0</v>
      </c>
      <c r="G42" s="16" t="s">
        <v>51</v>
      </c>
      <c r="H42" s="16" t="s">
        <v>51</v>
      </c>
      <c r="I42" s="53">
        <f t="shared" si="1"/>
        <v>0</v>
      </c>
    </row>
    <row r="43" spans="1:9" ht="14.4" x14ac:dyDescent="0.3">
      <c r="A43" s="89" t="s">
        <v>580</v>
      </c>
      <c r="B43" s="81"/>
      <c r="C43" s="81"/>
      <c r="D43" s="81"/>
      <c r="E43" s="85"/>
      <c r="F43" s="53">
        <f>SUM('Stavební rozpočet'!BU12:BU332)</f>
        <v>0</v>
      </c>
      <c r="G43" s="16" t="s">
        <v>51</v>
      </c>
      <c r="H43" s="16" t="s">
        <v>51</v>
      </c>
      <c r="I43" s="53">
        <f t="shared" si="1"/>
        <v>0</v>
      </c>
    </row>
    <row r="44" spans="1:9" ht="14.4" x14ac:dyDescent="0.3">
      <c r="A44" s="57" t="s">
        <v>581</v>
      </c>
      <c r="B44" s="58"/>
      <c r="C44" s="58"/>
      <c r="D44" s="58"/>
      <c r="E44" s="66"/>
      <c r="F44" s="19">
        <f>SUM('Stavební rozpočet'!BV12:BV332)</f>
        <v>0</v>
      </c>
      <c r="G44" s="20" t="s">
        <v>51</v>
      </c>
      <c r="H44" s="20" t="s">
        <v>51</v>
      </c>
      <c r="I44" s="19">
        <f t="shared" si="1"/>
        <v>0</v>
      </c>
    </row>
    <row r="45" spans="1:9" ht="14.4" x14ac:dyDescent="0.3">
      <c r="A45" s="118" t="s">
        <v>582</v>
      </c>
      <c r="B45" s="119"/>
      <c r="C45" s="119"/>
      <c r="D45" s="119"/>
      <c r="E45" s="120"/>
      <c r="F45" s="21" t="s">
        <v>51</v>
      </c>
      <c r="G45" s="22" t="s">
        <v>51</v>
      </c>
      <c r="H45" s="22" t="s">
        <v>51</v>
      </c>
      <c r="I45" s="23">
        <f>SUM(I35:I44)</f>
        <v>0</v>
      </c>
    </row>
  </sheetData>
  <sheetProtection password="C7EB" sheet="1"/>
  <mergeCells count="60">
    <mergeCell ref="A41:E41"/>
    <mergeCell ref="A42:E42"/>
    <mergeCell ref="A43:E43"/>
    <mergeCell ref="A44:E44"/>
    <mergeCell ref="A45:E45"/>
    <mergeCell ref="A36:E36"/>
    <mergeCell ref="A37:E37"/>
    <mergeCell ref="A38:E38"/>
    <mergeCell ref="A39:E39"/>
    <mergeCell ref="A40:E40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A10:B11"/>
    <mergeCell ref="C2:D3"/>
    <mergeCell ref="C4:D5"/>
    <mergeCell ref="C6:D7"/>
    <mergeCell ref="C8:D9"/>
    <mergeCell ref="C10:D11"/>
    <mergeCell ref="E8:E9"/>
    <mergeCell ref="E10:E11"/>
    <mergeCell ref="F2:G3"/>
    <mergeCell ref="F4:G5"/>
    <mergeCell ref="F6:G7"/>
    <mergeCell ref="F8:G9"/>
    <mergeCell ref="F10:G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</mergeCells>
  <pageMargins left="0.393999993801117" right="0.393999993801117" top="0.59100002050399802" bottom="0.59100002050399802" header="0" footer="0"/>
  <pageSetup fitToHeight="0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20112B2E0B7AD45A4F8666004B407E3" ma:contentTypeVersion="13" ma:contentTypeDescription="Vytvoří nový dokument" ma:contentTypeScope="" ma:versionID="b3c85b9c77cfc1340a900c6e921e3be4">
  <xsd:schema xmlns:xsd="http://www.w3.org/2001/XMLSchema" xmlns:xs="http://www.w3.org/2001/XMLSchema" xmlns:p="http://schemas.microsoft.com/office/2006/metadata/properties" xmlns:ns2="518400f5-4328-4c12-946d-76844d0c5a53" xmlns:ns3="69da2289-d092-4885-9b43-bcfe266777f8" targetNamespace="http://schemas.microsoft.com/office/2006/metadata/properties" ma:root="true" ma:fieldsID="eb7c9797baf5b3f34e86f249fd027779" ns2:_="" ns3:_="">
    <xsd:import namespace="518400f5-4328-4c12-946d-76844d0c5a53"/>
    <xsd:import namespace="69da2289-d092-4885-9b43-bcfe266777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8400f5-4328-4c12-946d-76844d0c5a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23ab2d1-99b4-49b8-a5ea-fd6203c513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da2289-d092-4885-9b43-bcfe266777f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d7c9db5-8ecb-44b2-870b-3f59c53cf5d3}" ma:internalName="TaxCatchAll" ma:showField="CatchAllData" ma:web="69da2289-d092-4885-9b43-bcfe266777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8400f5-4328-4c12-946d-76844d0c5a53">
      <Terms xmlns="http://schemas.microsoft.com/office/infopath/2007/PartnerControls"/>
    </lcf76f155ced4ddcb4097134ff3c332f>
    <TaxCatchAll xmlns="69da2289-d092-4885-9b43-bcfe266777f8" xsi:nil="true"/>
  </documentManagement>
</p:properties>
</file>

<file path=customXml/itemProps1.xml><?xml version="1.0" encoding="utf-8"?>
<ds:datastoreItem xmlns:ds="http://schemas.openxmlformats.org/officeDocument/2006/customXml" ds:itemID="{05A35675-54A4-4A15-B66D-1BF7A7BBA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8400f5-4328-4c12-946d-76844d0c5a53"/>
    <ds:schemaRef ds:uri="69da2289-d092-4885-9b43-bcfe26677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040AB2-BC9E-4FF0-9298-2A5C5A4CFF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22D704-29A1-479C-9EAA-1D52D1898A58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69da2289-d092-4885-9b43-bcfe266777f8"/>
    <ds:schemaRef ds:uri="http://purl.org/dc/elements/1.1/"/>
    <ds:schemaRef ds:uri="http://schemas.microsoft.com/office/2006/documentManagement/types"/>
    <ds:schemaRef ds:uri="http://www.w3.org/XML/1998/namespace"/>
    <ds:schemaRef ds:uri="518400f5-4328-4c12-946d-76844d0c5a53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Stavební rozpočet</vt:lpstr>
      <vt:lpstr>Krycí list rozpočtu</vt:lpstr>
      <vt:lpstr>VORN</vt:lpstr>
      <vt:lpstr>vorn_sum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Johana Říčná</cp:lastModifiedBy>
  <cp:revision/>
  <dcterms:created xsi:type="dcterms:W3CDTF">2021-06-10T20:06:38Z</dcterms:created>
  <dcterms:modified xsi:type="dcterms:W3CDTF">2026-01-09T08:23:13Z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0x010100E20112B2E0B7AD45A4F8666004B407E3</vt:lpwstr>
  </property>
  <property fmtid="{D5CDD505-2E9C-101B-9397-08002B2CF9AE}" pid="3" name="MediaServiceImageTags">
    <vt:lpwstr/>
  </property>
</Properties>
</file>