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xr:revisionPtr revIDLastSave="12" documentId="11_357FAFBE0AF27AD5866E4ED377F9AF12CE4CEC3F" xr6:coauthVersionLast="47" xr6:coauthVersionMax="47" xr10:uidLastSave="{22A05796-A7F0-41EC-AB15-B1BEFAD62CD7}"/>
  <bookViews>
    <workbookView xWindow="0" yWindow="0" windowWidth="0" windowHeight="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I26" i="3"/>
  <c r="I25" i="3"/>
  <c r="I24" i="3"/>
  <c r="I23" i="3"/>
  <c r="I22" i="3"/>
  <c r="I21" i="3"/>
  <c r="I27" i="3" s="1"/>
  <c r="I17" i="3"/>
  <c r="I16" i="3"/>
  <c r="I15" i="3"/>
  <c r="I18" i="3" s="1"/>
  <c r="F29" i="3" s="1"/>
  <c r="I10" i="3"/>
  <c r="F10" i="3"/>
  <c r="C10" i="3"/>
  <c r="F8" i="3"/>
  <c r="C8" i="3"/>
  <c r="F6" i="3"/>
  <c r="C6" i="3"/>
  <c r="F4" i="3"/>
  <c r="C4" i="3"/>
  <c r="F2" i="3"/>
  <c r="C2" i="3"/>
  <c r="I19" i="2"/>
  <c r="I18" i="2"/>
  <c r="I17" i="2"/>
  <c r="I16" i="2"/>
  <c r="F16" i="2"/>
  <c r="I15" i="2"/>
  <c r="F15" i="2"/>
  <c r="I14" i="2"/>
  <c r="I22" i="2" s="1"/>
  <c r="F14" i="2"/>
  <c r="F22" i="2" s="1"/>
  <c r="I10" i="2"/>
  <c r="F10" i="2"/>
  <c r="C10" i="2"/>
  <c r="F8" i="2"/>
  <c r="C8" i="2"/>
  <c r="F6" i="2"/>
  <c r="C6" i="2"/>
  <c r="F4" i="2"/>
  <c r="C4" i="2"/>
  <c r="F2" i="2"/>
  <c r="C2" i="2"/>
  <c r="BV230" i="1"/>
  <c r="BJ230" i="1"/>
  <c r="BF230" i="1"/>
  <c r="BD230" i="1"/>
  <c r="AP230" i="1"/>
  <c r="AO230" i="1"/>
  <c r="AK230" i="1"/>
  <c r="AJ230" i="1"/>
  <c r="AH230" i="1"/>
  <c r="AG230" i="1"/>
  <c r="AF230" i="1"/>
  <c r="AE230" i="1"/>
  <c r="AD230" i="1"/>
  <c r="AC230" i="1"/>
  <c r="AB230" i="1"/>
  <c r="Z230" i="1"/>
  <c r="J230" i="1"/>
  <c r="AL230" i="1" s="1"/>
  <c r="I230" i="1"/>
  <c r="H230" i="1"/>
  <c r="BV229" i="1"/>
  <c r="BJ229" i="1"/>
  <c r="BF229" i="1"/>
  <c r="BD229" i="1"/>
  <c r="AP229" i="1"/>
  <c r="AO229" i="1"/>
  <c r="AK229" i="1"/>
  <c r="AJ229" i="1"/>
  <c r="AH229" i="1"/>
  <c r="AG229" i="1"/>
  <c r="AF229" i="1"/>
  <c r="AE229" i="1"/>
  <c r="AD229" i="1"/>
  <c r="AC229" i="1"/>
  <c r="AB229" i="1"/>
  <c r="Z229" i="1"/>
  <c r="J229" i="1"/>
  <c r="AL229" i="1" s="1"/>
  <c r="I229" i="1"/>
  <c r="H229" i="1"/>
  <c r="BV228" i="1"/>
  <c r="BJ228" i="1"/>
  <c r="BF228" i="1"/>
  <c r="BD228" i="1"/>
  <c r="AP228" i="1"/>
  <c r="AO228" i="1"/>
  <c r="AK228" i="1"/>
  <c r="AJ228" i="1"/>
  <c r="AH228" i="1"/>
  <c r="AG228" i="1"/>
  <c r="AF228" i="1"/>
  <c r="AE228" i="1"/>
  <c r="AD228" i="1"/>
  <c r="AC228" i="1"/>
  <c r="AB228" i="1"/>
  <c r="Z228" i="1"/>
  <c r="J228" i="1"/>
  <c r="AL228" i="1" s="1"/>
  <c r="I228" i="1"/>
  <c r="H228" i="1"/>
  <c r="AU227" i="1"/>
  <c r="AT227" i="1"/>
  <c r="AS227" i="1"/>
  <c r="J227" i="1"/>
  <c r="I227" i="1"/>
  <c r="H227" i="1"/>
  <c r="J226" i="1"/>
  <c r="I226" i="1"/>
  <c r="H226" i="1"/>
  <c r="BJ225" i="1"/>
  <c r="BF225" i="1"/>
  <c r="BD225" i="1"/>
  <c r="AP225" i="1"/>
  <c r="AO225" i="1"/>
  <c r="AK225" i="1"/>
  <c r="AJ225" i="1"/>
  <c r="AH225" i="1"/>
  <c r="AG225" i="1"/>
  <c r="AF225" i="1"/>
  <c r="AE225" i="1"/>
  <c r="AD225" i="1"/>
  <c r="Z225" i="1"/>
  <c r="J225" i="1"/>
  <c r="AL225" i="1" s="1"/>
  <c r="I225" i="1"/>
  <c r="H225" i="1"/>
  <c r="BJ224" i="1"/>
  <c r="BF224" i="1"/>
  <c r="BD224" i="1"/>
  <c r="AP224" i="1"/>
  <c r="AO224" i="1"/>
  <c r="AK224" i="1"/>
  <c r="AJ224" i="1"/>
  <c r="AH224" i="1"/>
  <c r="AG224" i="1"/>
  <c r="AF224" i="1"/>
  <c r="AE224" i="1"/>
  <c r="AD224" i="1"/>
  <c r="Z224" i="1"/>
  <c r="J224" i="1"/>
  <c r="AL224" i="1" s="1"/>
  <c r="I224" i="1"/>
  <c r="H224" i="1"/>
  <c r="BJ223" i="1"/>
  <c r="BF223" i="1"/>
  <c r="BD223" i="1"/>
  <c r="AP223" i="1"/>
  <c r="AO223" i="1"/>
  <c r="AK223" i="1"/>
  <c r="AJ223" i="1"/>
  <c r="AH223" i="1"/>
  <c r="AG223" i="1"/>
  <c r="AF223" i="1"/>
  <c r="AE223" i="1"/>
  <c r="AD223" i="1"/>
  <c r="Z223" i="1"/>
  <c r="J223" i="1"/>
  <c r="AL223" i="1" s="1"/>
  <c r="I223" i="1"/>
  <c r="H223" i="1"/>
  <c r="BJ222" i="1"/>
  <c r="BF222" i="1"/>
  <c r="BD222" i="1"/>
  <c r="AP222" i="1"/>
  <c r="AO222" i="1"/>
  <c r="AK222" i="1"/>
  <c r="AJ222" i="1"/>
  <c r="AH222" i="1"/>
  <c r="AG222" i="1"/>
  <c r="AF222" i="1"/>
  <c r="AE222" i="1"/>
  <c r="AD222" i="1"/>
  <c r="Z222" i="1"/>
  <c r="J222" i="1"/>
  <c r="AL222" i="1" s="1"/>
  <c r="I222" i="1"/>
  <c r="H222" i="1"/>
  <c r="BJ221" i="1"/>
  <c r="BF221" i="1"/>
  <c r="BD221" i="1"/>
  <c r="AP221" i="1"/>
  <c r="AO221" i="1"/>
  <c r="AK221" i="1"/>
  <c r="AJ221" i="1"/>
  <c r="AH221" i="1"/>
  <c r="AG221" i="1"/>
  <c r="AF221" i="1"/>
  <c r="AE221" i="1"/>
  <c r="AD221" i="1"/>
  <c r="Z221" i="1"/>
  <c r="J221" i="1"/>
  <c r="AL221" i="1" s="1"/>
  <c r="I221" i="1"/>
  <c r="H221" i="1"/>
  <c r="AU220" i="1"/>
  <c r="AT220" i="1"/>
  <c r="AS220" i="1"/>
  <c r="J220" i="1"/>
  <c r="I220" i="1"/>
  <c r="H220" i="1"/>
  <c r="BJ219" i="1"/>
  <c r="BF219" i="1"/>
  <c r="BD219" i="1"/>
  <c r="AP219" i="1"/>
  <c r="AO219" i="1"/>
  <c r="AK219" i="1"/>
  <c r="AJ219" i="1"/>
  <c r="AH219" i="1"/>
  <c r="AG219" i="1"/>
  <c r="AF219" i="1"/>
  <c r="AE219" i="1"/>
  <c r="AD219" i="1"/>
  <c r="Z219" i="1"/>
  <c r="J219" i="1"/>
  <c r="AL219" i="1" s="1"/>
  <c r="I219" i="1"/>
  <c r="H219" i="1"/>
  <c r="BJ218" i="1"/>
  <c r="BF218" i="1"/>
  <c r="BD218" i="1"/>
  <c r="AP218" i="1"/>
  <c r="AO218" i="1"/>
  <c r="AK218" i="1"/>
  <c r="AJ218" i="1"/>
  <c r="AH218" i="1"/>
  <c r="AG218" i="1"/>
  <c r="AF218" i="1"/>
  <c r="AE218" i="1"/>
  <c r="AD218" i="1"/>
  <c r="Z218" i="1"/>
  <c r="J218" i="1"/>
  <c r="AL218" i="1" s="1"/>
  <c r="I218" i="1"/>
  <c r="H218" i="1"/>
  <c r="AU217" i="1"/>
  <c r="AT217" i="1"/>
  <c r="AS217" i="1"/>
  <c r="J217" i="1"/>
  <c r="I217" i="1"/>
  <c r="H217" i="1"/>
  <c r="BJ216" i="1"/>
  <c r="BF216" i="1"/>
  <c r="BD216" i="1"/>
  <c r="AP216" i="1"/>
  <c r="AO216" i="1"/>
  <c r="AK216" i="1"/>
  <c r="AJ216" i="1"/>
  <c r="AH216" i="1"/>
  <c r="AG216" i="1"/>
  <c r="AF216" i="1"/>
  <c r="AC216" i="1"/>
  <c r="AB216" i="1"/>
  <c r="Z216" i="1"/>
  <c r="J216" i="1"/>
  <c r="AL216" i="1" s="1"/>
  <c r="I216" i="1"/>
  <c r="H216" i="1"/>
  <c r="BJ215" i="1"/>
  <c r="BF215" i="1"/>
  <c r="BD215" i="1"/>
  <c r="AP215" i="1"/>
  <c r="AO215" i="1"/>
  <c r="AK215" i="1"/>
  <c r="AJ215" i="1"/>
  <c r="AH215" i="1"/>
  <c r="AG215" i="1"/>
  <c r="AF215" i="1"/>
  <c r="AC215" i="1"/>
  <c r="AB215" i="1"/>
  <c r="Z215" i="1"/>
  <c r="J215" i="1"/>
  <c r="AL215" i="1" s="1"/>
  <c r="I215" i="1"/>
  <c r="H215" i="1"/>
  <c r="BJ214" i="1"/>
  <c r="BF214" i="1"/>
  <c r="BD214" i="1"/>
  <c r="AP214" i="1"/>
  <c r="AO214" i="1"/>
  <c r="AK214" i="1"/>
  <c r="AJ214" i="1"/>
  <c r="AH214" i="1"/>
  <c r="AG214" i="1"/>
  <c r="AF214" i="1"/>
  <c r="AC214" i="1"/>
  <c r="AB214" i="1"/>
  <c r="Z214" i="1"/>
  <c r="J214" i="1"/>
  <c r="AL214" i="1" s="1"/>
  <c r="I214" i="1"/>
  <c r="H214" i="1"/>
  <c r="AU213" i="1"/>
  <c r="AT213" i="1"/>
  <c r="AS213" i="1"/>
  <c r="J213" i="1"/>
  <c r="I213" i="1"/>
  <c r="H213" i="1"/>
  <c r="BJ212" i="1"/>
  <c r="BF212" i="1"/>
  <c r="BD212" i="1"/>
  <c r="AP212" i="1"/>
  <c r="AO212" i="1"/>
  <c r="AK212" i="1"/>
  <c r="AJ212" i="1"/>
  <c r="AH212" i="1"/>
  <c r="AG212" i="1"/>
  <c r="AF212" i="1"/>
  <c r="AC212" i="1"/>
  <c r="AB212" i="1"/>
  <c r="Z212" i="1"/>
  <c r="J212" i="1"/>
  <c r="AL212" i="1" s="1"/>
  <c r="I212" i="1"/>
  <c r="H212" i="1"/>
  <c r="BJ211" i="1"/>
  <c r="BF211" i="1"/>
  <c r="BD211" i="1"/>
  <c r="AP211" i="1"/>
  <c r="AO211" i="1"/>
  <c r="AK211" i="1"/>
  <c r="AJ211" i="1"/>
  <c r="AH211" i="1"/>
  <c r="AG211" i="1"/>
  <c r="AF211" i="1"/>
  <c r="AC211" i="1"/>
  <c r="AB211" i="1"/>
  <c r="Z211" i="1"/>
  <c r="J211" i="1"/>
  <c r="AL211" i="1" s="1"/>
  <c r="I211" i="1"/>
  <c r="H211" i="1"/>
  <c r="BJ210" i="1"/>
  <c r="BF210" i="1"/>
  <c r="BD210" i="1"/>
  <c r="AP210" i="1"/>
  <c r="AO210" i="1"/>
  <c r="AK210" i="1"/>
  <c r="AJ210" i="1"/>
  <c r="AH210" i="1"/>
  <c r="AG210" i="1"/>
  <c r="AF210" i="1"/>
  <c r="AC210" i="1"/>
  <c r="AB210" i="1"/>
  <c r="Z210" i="1"/>
  <c r="J210" i="1"/>
  <c r="AL210" i="1" s="1"/>
  <c r="I210" i="1"/>
  <c r="H210" i="1"/>
  <c r="AU209" i="1"/>
  <c r="AT209" i="1"/>
  <c r="AS209" i="1"/>
  <c r="J209" i="1"/>
  <c r="I209" i="1"/>
  <c r="H209" i="1"/>
  <c r="BJ208" i="1"/>
  <c r="BF208" i="1"/>
  <c r="BD208" i="1"/>
  <c r="AP208" i="1"/>
  <c r="AO208" i="1"/>
  <c r="AK208" i="1"/>
  <c r="AJ208" i="1"/>
  <c r="AH208" i="1"/>
  <c r="AG208" i="1"/>
  <c r="AF208" i="1"/>
  <c r="AE208" i="1"/>
  <c r="AD208" i="1"/>
  <c r="AC208" i="1"/>
  <c r="AB208" i="1"/>
  <c r="Z208" i="1"/>
  <c r="J208" i="1"/>
  <c r="AL208" i="1" s="1"/>
  <c r="I208" i="1"/>
  <c r="H208" i="1"/>
  <c r="BJ207" i="1"/>
  <c r="BF207" i="1"/>
  <c r="BD207" i="1"/>
  <c r="AP207" i="1"/>
  <c r="AO207" i="1"/>
  <c r="AK207" i="1"/>
  <c r="AJ207" i="1"/>
  <c r="AH207" i="1"/>
  <c r="AG207" i="1"/>
  <c r="AF207" i="1"/>
  <c r="AE207" i="1"/>
  <c r="AD207" i="1"/>
  <c r="AC207" i="1"/>
  <c r="AB207" i="1"/>
  <c r="Z207" i="1"/>
  <c r="J207" i="1"/>
  <c r="AL207" i="1" s="1"/>
  <c r="I207" i="1"/>
  <c r="H207" i="1"/>
  <c r="BJ206" i="1"/>
  <c r="BF206" i="1"/>
  <c r="BD206" i="1"/>
  <c r="AP206" i="1"/>
  <c r="AO206" i="1"/>
  <c r="AK206" i="1"/>
  <c r="AJ206" i="1"/>
  <c r="AH206" i="1"/>
  <c r="AG206" i="1"/>
  <c r="AF206" i="1"/>
  <c r="AC206" i="1"/>
  <c r="AB206" i="1"/>
  <c r="Z206" i="1"/>
  <c r="J206" i="1"/>
  <c r="AL206" i="1" s="1"/>
  <c r="I206" i="1"/>
  <c r="H206" i="1"/>
  <c r="BJ205" i="1"/>
  <c r="BF205" i="1"/>
  <c r="BD205" i="1"/>
  <c r="AP205" i="1"/>
  <c r="AO205" i="1"/>
  <c r="AK205" i="1"/>
  <c r="AJ205" i="1"/>
  <c r="AH205" i="1"/>
  <c r="AG205" i="1"/>
  <c r="AF205" i="1"/>
  <c r="AC205" i="1"/>
  <c r="AB205" i="1"/>
  <c r="Z205" i="1"/>
  <c r="J205" i="1"/>
  <c r="AL205" i="1" s="1"/>
  <c r="I205" i="1"/>
  <c r="H205" i="1"/>
  <c r="BJ204" i="1"/>
  <c r="BF204" i="1"/>
  <c r="BD204" i="1"/>
  <c r="AP204" i="1"/>
  <c r="AO204" i="1"/>
  <c r="AK204" i="1"/>
  <c r="AJ204" i="1"/>
  <c r="AH204" i="1"/>
  <c r="AG204" i="1"/>
  <c r="AF204" i="1"/>
  <c r="AC204" i="1"/>
  <c r="AB204" i="1"/>
  <c r="Z204" i="1"/>
  <c r="J204" i="1"/>
  <c r="AL204" i="1" s="1"/>
  <c r="I204" i="1"/>
  <c r="H204" i="1"/>
  <c r="BJ203" i="1"/>
  <c r="BF203" i="1"/>
  <c r="BD203" i="1"/>
  <c r="AP203" i="1"/>
  <c r="AO203" i="1"/>
  <c r="AK203" i="1"/>
  <c r="AJ203" i="1"/>
  <c r="AH203" i="1"/>
  <c r="AG203" i="1"/>
  <c r="AF203" i="1"/>
  <c r="AC203" i="1"/>
  <c r="AB203" i="1"/>
  <c r="Z203" i="1"/>
  <c r="J203" i="1"/>
  <c r="AL203" i="1" s="1"/>
  <c r="I203" i="1"/>
  <c r="H203" i="1"/>
  <c r="BJ202" i="1"/>
  <c r="BF202" i="1"/>
  <c r="BD202" i="1"/>
  <c r="AP202" i="1"/>
  <c r="AO202" i="1"/>
  <c r="AK202" i="1"/>
  <c r="AJ202" i="1"/>
  <c r="AH202" i="1"/>
  <c r="AG202" i="1"/>
  <c r="AF202" i="1"/>
  <c r="AC202" i="1"/>
  <c r="AB202" i="1"/>
  <c r="Z202" i="1"/>
  <c r="J202" i="1"/>
  <c r="AL202" i="1" s="1"/>
  <c r="I202" i="1"/>
  <c r="H202" i="1"/>
  <c r="BJ201" i="1"/>
  <c r="BF201" i="1"/>
  <c r="BD201" i="1"/>
  <c r="AP201" i="1"/>
  <c r="AO201" i="1"/>
  <c r="AK201" i="1"/>
  <c r="AJ201" i="1"/>
  <c r="AH201" i="1"/>
  <c r="AG201" i="1"/>
  <c r="AF201" i="1"/>
  <c r="AC201" i="1"/>
  <c r="AB201" i="1"/>
  <c r="Z201" i="1"/>
  <c r="J201" i="1"/>
  <c r="AL201" i="1" s="1"/>
  <c r="I201" i="1"/>
  <c r="H201" i="1"/>
  <c r="BJ200" i="1"/>
  <c r="BF200" i="1"/>
  <c r="BD200" i="1"/>
  <c r="AP200" i="1"/>
  <c r="AO200" i="1"/>
  <c r="AK200" i="1"/>
  <c r="AJ200" i="1"/>
  <c r="AH200" i="1"/>
  <c r="AG200" i="1"/>
  <c r="AF200" i="1"/>
  <c r="AC200" i="1"/>
  <c r="AB200" i="1"/>
  <c r="Z200" i="1"/>
  <c r="J200" i="1"/>
  <c r="AL200" i="1" s="1"/>
  <c r="I200" i="1"/>
  <c r="H200" i="1"/>
  <c r="BJ199" i="1"/>
  <c r="BF199" i="1"/>
  <c r="BD199" i="1"/>
  <c r="AP199" i="1"/>
  <c r="AO199" i="1"/>
  <c r="AK199" i="1"/>
  <c r="AJ199" i="1"/>
  <c r="AH199" i="1"/>
  <c r="AG199" i="1"/>
  <c r="AF199" i="1"/>
  <c r="AC199" i="1"/>
  <c r="AB199" i="1"/>
  <c r="Z199" i="1"/>
  <c r="J199" i="1"/>
  <c r="AL199" i="1" s="1"/>
  <c r="I199" i="1"/>
  <c r="H199" i="1"/>
  <c r="BJ198" i="1"/>
  <c r="BF198" i="1"/>
  <c r="BD198" i="1"/>
  <c r="AP198" i="1"/>
  <c r="AO198" i="1"/>
  <c r="AK198" i="1"/>
  <c r="AJ198" i="1"/>
  <c r="AH198" i="1"/>
  <c r="AG198" i="1"/>
  <c r="AF198" i="1"/>
  <c r="AC198" i="1"/>
  <c r="AB198" i="1"/>
  <c r="Z198" i="1"/>
  <c r="J198" i="1"/>
  <c r="AL198" i="1" s="1"/>
  <c r="I198" i="1"/>
  <c r="H198" i="1"/>
  <c r="BJ197" i="1"/>
  <c r="BF197" i="1"/>
  <c r="BD197" i="1"/>
  <c r="AP197" i="1"/>
  <c r="AO197" i="1"/>
  <c r="AK197" i="1"/>
  <c r="AJ197" i="1"/>
  <c r="AH197" i="1"/>
  <c r="AG197" i="1"/>
  <c r="AF197" i="1"/>
  <c r="AC197" i="1"/>
  <c r="AB197" i="1"/>
  <c r="Z197" i="1"/>
  <c r="J197" i="1"/>
  <c r="AL197" i="1" s="1"/>
  <c r="I197" i="1"/>
  <c r="H197" i="1"/>
  <c r="BJ196" i="1"/>
  <c r="BF196" i="1"/>
  <c r="BD196" i="1"/>
  <c r="AP196" i="1"/>
  <c r="AO196" i="1"/>
  <c r="AK196" i="1"/>
  <c r="AJ196" i="1"/>
  <c r="AH196" i="1"/>
  <c r="AG196" i="1"/>
  <c r="AF196" i="1"/>
  <c r="AC196" i="1"/>
  <c r="AB196" i="1"/>
  <c r="Z196" i="1"/>
  <c r="J196" i="1"/>
  <c r="AL196" i="1" s="1"/>
  <c r="I196" i="1"/>
  <c r="H196" i="1"/>
  <c r="BJ195" i="1"/>
  <c r="BF195" i="1"/>
  <c r="BD195" i="1"/>
  <c r="AP195" i="1"/>
  <c r="AO195" i="1"/>
  <c r="AK195" i="1"/>
  <c r="AJ195" i="1"/>
  <c r="AH195" i="1"/>
  <c r="AG195" i="1"/>
  <c r="AF195" i="1"/>
  <c r="AC195" i="1"/>
  <c r="AB195" i="1"/>
  <c r="Z195" i="1"/>
  <c r="J195" i="1"/>
  <c r="AL195" i="1" s="1"/>
  <c r="I195" i="1"/>
  <c r="H195" i="1"/>
  <c r="BJ194" i="1"/>
  <c r="BF194" i="1"/>
  <c r="BD194" i="1"/>
  <c r="AP194" i="1"/>
  <c r="AO194" i="1"/>
  <c r="AK194" i="1"/>
  <c r="AJ194" i="1"/>
  <c r="AH194" i="1"/>
  <c r="AG194" i="1"/>
  <c r="AF194" i="1"/>
  <c r="AC194" i="1"/>
  <c r="AB194" i="1"/>
  <c r="Z194" i="1"/>
  <c r="J194" i="1"/>
  <c r="AL194" i="1" s="1"/>
  <c r="I194" i="1"/>
  <c r="H194" i="1"/>
  <c r="BJ193" i="1"/>
  <c r="BF193" i="1"/>
  <c r="BD193" i="1"/>
  <c r="AP193" i="1"/>
  <c r="AO193" i="1"/>
  <c r="AK193" i="1"/>
  <c r="AJ193" i="1"/>
  <c r="AH193" i="1"/>
  <c r="AG193" i="1"/>
  <c r="AF193" i="1"/>
  <c r="AC193" i="1"/>
  <c r="AB193" i="1"/>
  <c r="Z193" i="1"/>
  <c r="J193" i="1"/>
  <c r="AL193" i="1" s="1"/>
  <c r="I193" i="1"/>
  <c r="H193" i="1"/>
  <c r="BJ192" i="1"/>
  <c r="BF192" i="1"/>
  <c r="BD192" i="1"/>
  <c r="AP192" i="1"/>
  <c r="AO192" i="1"/>
  <c r="AK192" i="1"/>
  <c r="AJ192" i="1"/>
  <c r="AH192" i="1"/>
  <c r="AG192" i="1"/>
  <c r="AF192" i="1"/>
  <c r="AC192" i="1"/>
  <c r="AB192" i="1"/>
  <c r="Z192" i="1"/>
  <c r="J192" i="1"/>
  <c r="AL192" i="1" s="1"/>
  <c r="I192" i="1"/>
  <c r="H192" i="1"/>
  <c r="BJ191" i="1"/>
  <c r="BF191" i="1"/>
  <c r="BD191" i="1"/>
  <c r="AP191" i="1"/>
  <c r="AO191" i="1"/>
  <c r="AK191" i="1"/>
  <c r="AJ191" i="1"/>
  <c r="AH191" i="1"/>
  <c r="AG191" i="1"/>
  <c r="AF191" i="1"/>
  <c r="AC191" i="1"/>
  <c r="AB191" i="1"/>
  <c r="Z191" i="1"/>
  <c r="J191" i="1"/>
  <c r="AL191" i="1" s="1"/>
  <c r="I191" i="1"/>
  <c r="H191" i="1"/>
  <c r="AU190" i="1"/>
  <c r="AT190" i="1"/>
  <c r="AS190" i="1"/>
  <c r="J190" i="1"/>
  <c r="I190" i="1"/>
  <c r="H190" i="1"/>
  <c r="BJ189" i="1"/>
  <c r="BF189" i="1"/>
  <c r="BD189" i="1"/>
  <c r="AP189" i="1"/>
  <c r="AO189" i="1"/>
  <c r="AK189" i="1"/>
  <c r="AJ189" i="1"/>
  <c r="AH189" i="1"/>
  <c r="AG189" i="1"/>
  <c r="AF189" i="1"/>
  <c r="AE189" i="1"/>
  <c r="AD189" i="1"/>
  <c r="AC189" i="1"/>
  <c r="AB189" i="1"/>
  <c r="Z189" i="1"/>
  <c r="J189" i="1"/>
  <c r="AL189" i="1" s="1"/>
  <c r="I189" i="1"/>
  <c r="H189" i="1"/>
  <c r="BJ188" i="1"/>
  <c r="BF188" i="1"/>
  <c r="BD188" i="1"/>
  <c r="AP188" i="1"/>
  <c r="AO188" i="1"/>
  <c r="AK188" i="1"/>
  <c r="AJ188" i="1"/>
  <c r="AH188" i="1"/>
  <c r="AG188" i="1"/>
  <c r="AF188" i="1"/>
  <c r="AE188" i="1"/>
  <c r="AD188" i="1"/>
  <c r="AC188" i="1"/>
  <c r="AB188" i="1"/>
  <c r="Z188" i="1"/>
  <c r="J188" i="1"/>
  <c r="AL188" i="1" s="1"/>
  <c r="I188" i="1"/>
  <c r="H188" i="1"/>
  <c r="BJ187" i="1"/>
  <c r="BF187" i="1"/>
  <c r="BD187" i="1"/>
  <c r="AP187" i="1"/>
  <c r="AO187" i="1"/>
  <c r="AK187" i="1"/>
  <c r="AJ187" i="1"/>
  <c r="AH187" i="1"/>
  <c r="AE187" i="1"/>
  <c r="AD187" i="1"/>
  <c r="AC187" i="1"/>
  <c r="AB187" i="1"/>
  <c r="Z187" i="1"/>
  <c r="J187" i="1"/>
  <c r="AL187" i="1" s="1"/>
  <c r="I187" i="1"/>
  <c r="H187" i="1"/>
  <c r="BJ186" i="1"/>
  <c r="BF186" i="1"/>
  <c r="BD186" i="1"/>
  <c r="AP186" i="1"/>
  <c r="AO186" i="1"/>
  <c r="AK186" i="1"/>
  <c r="AJ186" i="1"/>
  <c r="AH186" i="1"/>
  <c r="AG186" i="1"/>
  <c r="AF186" i="1"/>
  <c r="AC186" i="1"/>
  <c r="AB186" i="1"/>
  <c r="Z186" i="1"/>
  <c r="J186" i="1"/>
  <c r="AL186" i="1" s="1"/>
  <c r="I186" i="1"/>
  <c r="H186" i="1"/>
  <c r="BJ185" i="1"/>
  <c r="BF185" i="1"/>
  <c r="BD185" i="1"/>
  <c r="AP185" i="1"/>
  <c r="AO185" i="1"/>
  <c r="AK185" i="1"/>
  <c r="AJ185" i="1"/>
  <c r="AH185" i="1"/>
  <c r="AG185" i="1"/>
  <c r="AF185" i="1"/>
  <c r="AC185" i="1"/>
  <c r="AB185" i="1"/>
  <c r="Z185" i="1"/>
  <c r="J185" i="1"/>
  <c r="AL185" i="1" s="1"/>
  <c r="I185" i="1"/>
  <c r="H185" i="1"/>
  <c r="BJ184" i="1"/>
  <c r="BF184" i="1"/>
  <c r="BD184" i="1"/>
  <c r="AP184" i="1"/>
  <c r="AO184" i="1"/>
  <c r="AK184" i="1"/>
  <c r="AJ184" i="1"/>
  <c r="AH184" i="1"/>
  <c r="AG184" i="1"/>
  <c r="AF184" i="1"/>
  <c r="AC184" i="1"/>
  <c r="AB184" i="1"/>
  <c r="Z184" i="1"/>
  <c r="J184" i="1"/>
  <c r="AL184" i="1" s="1"/>
  <c r="I184" i="1"/>
  <c r="H184" i="1"/>
  <c r="BJ183" i="1"/>
  <c r="BF183" i="1"/>
  <c r="BD183" i="1"/>
  <c r="AP183" i="1"/>
  <c r="AO183" i="1"/>
  <c r="AK183" i="1"/>
  <c r="AJ183" i="1"/>
  <c r="AH183" i="1"/>
  <c r="AG183" i="1"/>
  <c r="AF183" i="1"/>
  <c r="AC183" i="1"/>
  <c r="AB183" i="1"/>
  <c r="Z183" i="1"/>
  <c r="J183" i="1"/>
  <c r="AL183" i="1" s="1"/>
  <c r="I183" i="1"/>
  <c r="H183" i="1"/>
  <c r="BJ182" i="1"/>
  <c r="BF182" i="1"/>
  <c r="BD182" i="1"/>
  <c r="AP182" i="1"/>
  <c r="AO182" i="1"/>
  <c r="AK182" i="1"/>
  <c r="AJ182" i="1"/>
  <c r="AH182" i="1"/>
  <c r="AG182" i="1"/>
  <c r="AF182" i="1"/>
  <c r="AC182" i="1"/>
  <c r="AB182" i="1"/>
  <c r="Z182" i="1"/>
  <c r="J182" i="1"/>
  <c r="AL182" i="1" s="1"/>
  <c r="I182" i="1"/>
  <c r="H182" i="1"/>
  <c r="AU181" i="1"/>
  <c r="AT181" i="1"/>
  <c r="AS181" i="1"/>
  <c r="J181" i="1"/>
  <c r="I181" i="1"/>
  <c r="H181" i="1"/>
  <c r="BJ180" i="1"/>
  <c r="BF180" i="1"/>
  <c r="BD180" i="1"/>
  <c r="AP180" i="1"/>
  <c r="AO180" i="1"/>
  <c r="AK180" i="1"/>
  <c r="AJ180" i="1"/>
  <c r="AH180" i="1"/>
  <c r="AG180" i="1"/>
  <c r="AF180" i="1"/>
  <c r="AC180" i="1"/>
  <c r="AB180" i="1"/>
  <c r="Z180" i="1"/>
  <c r="J180" i="1"/>
  <c r="AL180" i="1" s="1"/>
  <c r="I180" i="1"/>
  <c r="H180" i="1"/>
  <c r="BJ179" i="1"/>
  <c r="BF179" i="1"/>
  <c r="BD179" i="1"/>
  <c r="AP179" i="1"/>
  <c r="AO179" i="1"/>
  <c r="AK179" i="1"/>
  <c r="AJ179" i="1"/>
  <c r="AH179" i="1"/>
  <c r="AG179" i="1"/>
  <c r="AF179" i="1"/>
  <c r="AC179" i="1"/>
  <c r="AB179" i="1"/>
  <c r="Z179" i="1"/>
  <c r="J179" i="1"/>
  <c r="AL179" i="1" s="1"/>
  <c r="I179" i="1"/>
  <c r="H179" i="1"/>
  <c r="BJ178" i="1"/>
  <c r="BF178" i="1"/>
  <c r="BD178" i="1"/>
  <c r="AP178" i="1"/>
  <c r="AO178" i="1"/>
  <c r="AK178" i="1"/>
  <c r="AJ178" i="1"/>
  <c r="AH178" i="1"/>
  <c r="AG178" i="1"/>
  <c r="AF178" i="1"/>
  <c r="AC178" i="1"/>
  <c r="AB178" i="1"/>
  <c r="Z178" i="1"/>
  <c r="J178" i="1"/>
  <c r="AL178" i="1" s="1"/>
  <c r="I178" i="1"/>
  <c r="H178" i="1"/>
  <c r="BJ177" i="1"/>
  <c r="BF177" i="1"/>
  <c r="BD177" i="1"/>
  <c r="AP177" i="1"/>
  <c r="AO177" i="1"/>
  <c r="AK177" i="1"/>
  <c r="AJ177" i="1"/>
  <c r="AH177" i="1"/>
  <c r="AG177" i="1"/>
  <c r="AF177" i="1"/>
  <c r="AC177" i="1"/>
  <c r="AB177" i="1"/>
  <c r="Z177" i="1"/>
  <c r="J177" i="1"/>
  <c r="AL177" i="1" s="1"/>
  <c r="I177" i="1"/>
  <c r="H177" i="1"/>
  <c r="BJ176" i="1"/>
  <c r="BF176" i="1"/>
  <c r="BD176" i="1"/>
  <c r="AP176" i="1"/>
  <c r="AO176" i="1"/>
  <c r="AK176" i="1"/>
  <c r="AJ176" i="1"/>
  <c r="AH176" i="1"/>
  <c r="AG176" i="1"/>
  <c r="AF176" i="1"/>
  <c r="AC176" i="1"/>
  <c r="AB176" i="1"/>
  <c r="Z176" i="1"/>
  <c r="J176" i="1"/>
  <c r="AL176" i="1" s="1"/>
  <c r="I176" i="1"/>
  <c r="H176" i="1"/>
  <c r="BJ175" i="1"/>
  <c r="BF175" i="1"/>
  <c r="BD175" i="1"/>
  <c r="AP175" i="1"/>
  <c r="AO175" i="1"/>
  <c r="AK175" i="1"/>
  <c r="AJ175" i="1"/>
  <c r="AH175" i="1"/>
  <c r="AG175" i="1"/>
  <c r="AF175" i="1"/>
  <c r="AC175" i="1"/>
  <c r="AB175" i="1"/>
  <c r="Z175" i="1"/>
  <c r="J175" i="1"/>
  <c r="AL175" i="1" s="1"/>
  <c r="I175" i="1"/>
  <c r="H175" i="1"/>
  <c r="BJ174" i="1"/>
  <c r="BF174" i="1"/>
  <c r="BD174" i="1"/>
  <c r="AP174" i="1"/>
  <c r="AO174" i="1"/>
  <c r="AK174" i="1"/>
  <c r="AJ174" i="1"/>
  <c r="AH174" i="1"/>
  <c r="AG174" i="1"/>
  <c r="AF174" i="1"/>
  <c r="AC174" i="1"/>
  <c r="AB174" i="1"/>
  <c r="Z174" i="1"/>
  <c r="J174" i="1"/>
  <c r="AL174" i="1" s="1"/>
  <c r="I174" i="1"/>
  <c r="H174" i="1"/>
  <c r="BJ173" i="1"/>
  <c r="BF173" i="1"/>
  <c r="BD173" i="1"/>
  <c r="AP173" i="1"/>
  <c r="AO173" i="1"/>
  <c r="AK173" i="1"/>
  <c r="AJ173" i="1"/>
  <c r="AH173" i="1"/>
  <c r="AG173" i="1"/>
  <c r="AF173" i="1"/>
  <c r="AC173" i="1"/>
  <c r="AB173" i="1"/>
  <c r="Z173" i="1"/>
  <c r="J173" i="1"/>
  <c r="AL173" i="1" s="1"/>
  <c r="I173" i="1"/>
  <c r="H173" i="1"/>
  <c r="AU172" i="1"/>
  <c r="AT172" i="1"/>
  <c r="AS172" i="1"/>
  <c r="J172" i="1"/>
  <c r="I172" i="1"/>
  <c r="H172" i="1"/>
  <c r="BJ171" i="1"/>
  <c r="BF171" i="1"/>
  <c r="BD171" i="1"/>
  <c r="AP171" i="1"/>
  <c r="AO171" i="1"/>
  <c r="AK171" i="1"/>
  <c r="AJ171" i="1"/>
  <c r="AH171" i="1"/>
  <c r="AG171" i="1"/>
  <c r="AF171" i="1"/>
  <c r="AC171" i="1"/>
  <c r="AB171" i="1"/>
  <c r="Z171" i="1"/>
  <c r="J171" i="1"/>
  <c r="AL171" i="1" s="1"/>
  <c r="I171" i="1"/>
  <c r="H171" i="1"/>
  <c r="BJ170" i="1"/>
  <c r="BF170" i="1"/>
  <c r="BD170" i="1"/>
  <c r="AP170" i="1"/>
  <c r="AO170" i="1"/>
  <c r="AK170" i="1"/>
  <c r="AJ170" i="1"/>
  <c r="AH170" i="1"/>
  <c r="AG170" i="1"/>
  <c r="AF170" i="1"/>
  <c r="AC170" i="1"/>
  <c r="AB170" i="1"/>
  <c r="Z170" i="1"/>
  <c r="J170" i="1"/>
  <c r="AL170" i="1" s="1"/>
  <c r="I170" i="1"/>
  <c r="H170" i="1"/>
  <c r="BJ169" i="1"/>
  <c r="BF169" i="1"/>
  <c r="BD169" i="1"/>
  <c r="AP169" i="1"/>
  <c r="AO169" i="1"/>
  <c r="AK169" i="1"/>
  <c r="AJ169" i="1"/>
  <c r="AH169" i="1"/>
  <c r="AG169" i="1"/>
  <c r="AF169" i="1"/>
  <c r="AC169" i="1"/>
  <c r="AB169" i="1"/>
  <c r="Z169" i="1"/>
  <c r="J169" i="1"/>
  <c r="AL169" i="1" s="1"/>
  <c r="I169" i="1"/>
  <c r="H169" i="1"/>
  <c r="BJ168" i="1"/>
  <c r="BF168" i="1"/>
  <c r="BD168" i="1"/>
  <c r="AP168" i="1"/>
  <c r="AO168" i="1"/>
  <c r="AK168" i="1"/>
  <c r="AJ168" i="1"/>
  <c r="AH168" i="1"/>
  <c r="AG168" i="1"/>
  <c r="AF168" i="1"/>
  <c r="AC168" i="1"/>
  <c r="AB168" i="1"/>
  <c r="Z168" i="1"/>
  <c r="J168" i="1"/>
  <c r="AL168" i="1" s="1"/>
  <c r="I168" i="1"/>
  <c r="H168" i="1"/>
  <c r="BJ167" i="1"/>
  <c r="BF167" i="1"/>
  <c r="BD167" i="1"/>
  <c r="AP167" i="1"/>
  <c r="AO167" i="1"/>
  <c r="AK167" i="1"/>
  <c r="AJ167" i="1"/>
  <c r="AH167" i="1"/>
  <c r="AG167" i="1"/>
  <c r="AF167" i="1"/>
  <c r="AC167" i="1"/>
  <c r="AB167" i="1"/>
  <c r="Z167" i="1"/>
  <c r="J167" i="1"/>
  <c r="AL167" i="1" s="1"/>
  <c r="I167" i="1"/>
  <c r="H167" i="1"/>
  <c r="AU166" i="1"/>
  <c r="AT166" i="1"/>
  <c r="AS166" i="1"/>
  <c r="J166" i="1"/>
  <c r="I166" i="1"/>
  <c r="H166" i="1"/>
  <c r="BJ165" i="1"/>
  <c r="BF165" i="1"/>
  <c r="BD165" i="1"/>
  <c r="AP165" i="1"/>
  <c r="AO165" i="1"/>
  <c r="AK165" i="1"/>
  <c r="AJ165" i="1"/>
  <c r="AH165" i="1"/>
  <c r="AG165" i="1"/>
  <c r="AF165" i="1"/>
  <c r="AE165" i="1"/>
  <c r="AD165" i="1"/>
  <c r="AC165" i="1"/>
  <c r="AB165" i="1"/>
  <c r="Z165" i="1"/>
  <c r="J165" i="1"/>
  <c r="AL165" i="1" s="1"/>
  <c r="I165" i="1"/>
  <c r="H165" i="1"/>
  <c r="BJ164" i="1"/>
  <c r="BF164" i="1"/>
  <c r="BD164" i="1"/>
  <c r="AP164" i="1"/>
  <c r="AO164" i="1"/>
  <c r="AK164" i="1"/>
  <c r="AJ164" i="1"/>
  <c r="AH164" i="1"/>
  <c r="AG164" i="1"/>
  <c r="AF164" i="1"/>
  <c r="AE164" i="1"/>
  <c r="AD164" i="1"/>
  <c r="AC164" i="1"/>
  <c r="AB164" i="1"/>
  <c r="Z164" i="1"/>
  <c r="J164" i="1"/>
  <c r="AL164" i="1" s="1"/>
  <c r="I164" i="1"/>
  <c r="H164" i="1"/>
  <c r="BJ163" i="1"/>
  <c r="BF163" i="1"/>
  <c r="BD163" i="1"/>
  <c r="AP163" i="1"/>
  <c r="AO163" i="1"/>
  <c r="AK163" i="1"/>
  <c r="AJ163" i="1"/>
  <c r="AH163" i="1"/>
  <c r="AG163" i="1"/>
  <c r="AF163" i="1"/>
  <c r="AC163" i="1"/>
  <c r="AB163" i="1"/>
  <c r="Z163" i="1"/>
  <c r="J163" i="1"/>
  <c r="AL163" i="1" s="1"/>
  <c r="I163" i="1"/>
  <c r="H163" i="1"/>
  <c r="BJ162" i="1"/>
  <c r="BF162" i="1"/>
  <c r="BD162" i="1"/>
  <c r="AP162" i="1"/>
  <c r="AO162" i="1"/>
  <c r="AK162" i="1"/>
  <c r="AJ162" i="1"/>
  <c r="AH162" i="1"/>
  <c r="AG162" i="1"/>
  <c r="AF162" i="1"/>
  <c r="AC162" i="1"/>
  <c r="AB162" i="1"/>
  <c r="Z162" i="1"/>
  <c r="J162" i="1"/>
  <c r="AL162" i="1" s="1"/>
  <c r="I162" i="1"/>
  <c r="H162" i="1"/>
  <c r="BJ161" i="1"/>
  <c r="BF161" i="1"/>
  <c r="BD161" i="1"/>
  <c r="AP161" i="1"/>
  <c r="AO161" i="1"/>
  <c r="AK161" i="1"/>
  <c r="AJ161" i="1"/>
  <c r="AH161" i="1"/>
  <c r="AG161" i="1"/>
  <c r="AF161" i="1"/>
  <c r="AC161" i="1"/>
  <c r="AB161" i="1"/>
  <c r="Z161" i="1"/>
  <c r="J161" i="1"/>
  <c r="AL161" i="1" s="1"/>
  <c r="I161" i="1"/>
  <c r="H161" i="1"/>
  <c r="BJ160" i="1"/>
  <c r="BF160" i="1"/>
  <c r="BD160" i="1"/>
  <c r="AP160" i="1"/>
  <c r="AO160" i="1"/>
  <c r="AK160" i="1"/>
  <c r="AJ160" i="1"/>
  <c r="AH160" i="1"/>
  <c r="AG160" i="1"/>
  <c r="AF160" i="1"/>
  <c r="AC160" i="1"/>
  <c r="AB160" i="1"/>
  <c r="Z160" i="1"/>
  <c r="J160" i="1"/>
  <c r="AL160" i="1" s="1"/>
  <c r="I160" i="1"/>
  <c r="H160" i="1"/>
  <c r="BJ159" i="1"/>
  <c r="BF159" i="1"/>
  <c r="BD159" i="1"/>
  <c r="AP159" i="1"/>
  <c r="AO159" i="1"/>
  <c r="AK159" i="1"/>
  <c r="AJ159" i="1"/>
  <c r="AH159" i="1"/>
  <c r="AG159" i="1"/>
  <c r="AF159" i="1"/>
  <c r="AC159" i="1"/>
  <c r="AB159" i="1"/>
  <c r="Z159" i="1"/>
  <c r="J159" i="1"/>
  <c r="AL159" i="1" s="1"/>
  <c r="I159" i="1"/>
  <c r="H159" i="1"/>
  <c r="BJ158" i="1"/>
  <c r="BF158" i="1"/>
  <c r="BD158" i="1"/>
  <c r="AP158" i="1"/>
  <c r="AO158" i="1"/>
  <c r="AK158" i="1"/>
  <c r="AJ158" i="1"/>
  <c r="AH158" i="1"/>
  <c r="AG158" i="1"/>
  <c r="AF158" i="1"/>
  <c r="AC158" i="1"/>
  <c r="AB158" i="1"/>
  <c r="Z158" i="1"/>
  <c r="J158" i="1"/>
  <c r="AL158" i="1" s="1"/>
  <c r="I158" i="1"/>
  <c r="H158" i="1"/>
  <c r="BJ157" i="1"/>
  <c r="BF157" i="1"/>
  <c r="BD157" i="1"/>
  <c r="AP157" i="1"/>
  <c r="AO157" i="1"/>
  <c r="AK157" i="1"/>
  <c r="AJ157" i="1"/>
  <c r="AH157" i="1"/>
  <c r="AG157" i="1"/>
  <c r="AF157" i="1"/>
  <c r="AC157" i="1"/>
  <c r="AB157" i="1"/>
  <c r="Z157" i="1"/>
  <c r="J157" i="1"/>
  <c r="AL157" i="1" s="1"/>
  <c r="I157" i="1"/>
  <c r="H157" i="1"/>
  <c r="BJ156" i="1"/>
  <c r="BF156" i="1"/>
  <c r="BD156" i="1"/>
  <c r="AP156" i="1"/>
  <c r="AO156" i="1"/>
  <c r="AK156" i="1"/>
  <c r="AJ156" i="1"/>
  <c r="AH156" i="1"/>
  <c r="AG156" i="1"/>
  <c r="AF156" i="1"/>
  <c r="AC156" i="1"/>
  <c r="AB156" i="1"/>
  <c r="Z156" i="1"/>
  <c r="J156" i="1"/>
  <c r="AL156" i="1" s="1"/>
  <c r="I156" i="1"/>
  <c r="H156" i="1"/>
  <c r="AU155" i="1"/>
  <c r="AT155" i="1"/>
  <c r="AS155" i="1"/>
  <c r="J155" i="1"/>
  <c r="I155" i="1"/>
  <c r="H155" i="1"/>
  <c r="BJ154" i="1"/>
  <c r="BF154" i="1"/>
  <c r="BD154" i="1"/>
  <c r="AP154" i="1"/>
  <c r="AO154" i="1"/>
  <c r="AK154" i="1"/>
  <c r="AJ154" i="1"/>
  <c r="AH154" i="1"/>
  <c r="AG154" i="1"/>
  <c r="AF154" i="1"/>
  <c r="AE154" i="1"/>
  <c r="AD154" i="1"/>
  <c r="AC154" i="1"/>
  <c r="AB154" i="1"/>
  <c r="Z154" i="1"/>
  <c r="J154" i="1"/>
  <c r="AL154" i="1" s="1"/>
  <c r="I154" i="1"/>
  <c r="H154" i="1"/>
  <c r="BJ153" i="1"/>
  <c r="BF153" i="1"/>
  <c r="BD153" i="1"/>
  <c r="AP153" i="1"/>
  <c r="AO153" i="1"/>
  <c r="AK153" i="1"/>
  <c r="AJ153" i="1"/>
  <c r="AH153" i="1"/>
  <c r="AG153" i="1"/>
  <c r="AF153" i="1"/>
  <c r="AE153" i="1"/>
  <c r="AD153" i="1"/>
  <c r="AC153" i="1"/>
  <c r="AB153" i="1"/>
  <c r="Z153" i="1"/>
  <c r="J153" i="1"/>
  <c r="AL153" i="1" s="1"/>
  <c r="I153" i="1"/>
  <c r="H153" i="1"/>
  <c r="BJ152" i="1"/>
  <c r="BF152" i="1"/>
  <c r="BD152" i="1"/>
  <c r="AP152" i="1"/>
  <c r="AO152" i="1"/>
  <c r="AK152" i="1"/>
  <c r="AJ152" i="1"/>
  <c r="AH152" i="1"/>
  <c r="AG152" i="1"/>
  <c r="AF152" i="1"/>
  <c r="AC152" i="1"/>
  <c r="AB152" i="1"/>
  <c r="Z152" i="1"/>
  <c r="J152" i="1"/>
  <c r="AL152" i="1" s="1"/>
  <c r="I152" i="1"/>
  <c r="H152" i="1"/>
  <c r="BJ151" i="1"/>
  <c r="BF151" i="1"/>
  <c r="BD151" i="1"/>
  <c r="AP151" i="1"/>
  <c r="AO151" i="1"/>
  <c r="AK151" i="1"/>
  <c r="AJ151" i="1"/>
  <c r="AH151" i="1"/>
  <c r="AG151" i="1"/>
  <c r="AF151" i="1"/>
  <c r="AC151" i="1"/>
  <c r="AB151" i="1"/>
  <c r="Z151" i="1"/>
  <c r="J151" i="1"/>
  <c r="AL151" i="1" s="1"/>
  <c r="I151" i="1"/>
  <c r="H151" i="1"/>
  <c r="BJ150" i="1"/>
  <c r="BF150" i="1"/>
  <c r="BD150" i="1"/>
  <c r="AP150" i="1"/>
  <c r="AO150" i="1"/>
  <c r="AK150" i="1"/>
  <c r="AJ150" i="1"/>
  <c r="AH150" i="1"/>
  <c r="AG150" i="1"/>
  <c r="AF150" i="1"/>
  <c r="AC150" i="1"/>
  <c r="AB150" i="1"/>
  <c r="Z150" i="1"/>
  <c r="J150" i="1"/>
  <c r="AL150" i="1" s="1"/>
  <c r="I150" i="1"/>
  <c r="H150" i="1"/>
  <c r="BJ149" i="1"/>
  <c r="BF149" i="1"/>
  <c r="BD149" i="1"/>
  <c r="AP149" i="1"/>
  <c r="AO149" i="1"/>
  <c r="AK149" i="1"/>
  <c r="AJ149" i="1"/>
  <c r="AH149" i="1"/>
  <c r="AG149" i="1"/>
  <c r="AF149" i="1"/>
  <c r="AC149" i="1"/>
  <c r="AB149" i="1"/>
  <c r="Z149" i="1"/>
  <c r="J149" i="1"/>
  <c r="AL149" i="1" s="1"/>
  <c r="I149" i="1"/>
  <c r="H149" i="1"/>
  <c r="BJ148" i="1"/>
  <c r="BF148" i="1"/>
  <c r="BD148" i="1"/>
  <c r="AP148" i="1"/>
  <c r="AO148" i="1"/>
  <c r="AK148" i="1"/>
  <c r="AJ148" i="1"/>
  <c r="AH148" i="1"/>
  <c r="AG148" i="1"/>
  <c r="AF148" i="1"/>
  <c r="AC148" i="1"/>
  <c r="AB148" i="1"/>
  <c r="Z148" i="1"/>
  <c r="J148" i="1"/>
  <c r="AL148" i="1" s="1"/>
  <c r="I148" i="1"/>
  <c r="H148" i="1"/>
  <c r="BJ147" i="1"/>
  <c r="BF147" i="1"/>
  <c r="BD147" i="1"/>
  <c r="AP147" i="1"/>
  <c r="AO147" i="1"/>
  <c r="AK147" i="1"/>
  <c r="AJ147" i="1"/>
  <c r="AH147" i="1"/>
  <c r="AG147" i="1"/>
  <c r="AF147" i="1"/>
  <c r="AC147" i="1"/>
  <c r="AB147" i="1"/>
  <c r="Z147" i="1"/>
  <c r="J147" i="1"/>
  <c r="AL147" i="1" s="1"/>
  <c r="I147" i="1"/>
  <c r="H147" i="1"/>
  <c r="BJ146" i="1"/>
  <c r="BF146" i="1"/>
  <c r="BD146" i="1"/>
  <c r="AP146" i="1"/>
  <c r="AO146" i="1"/>
  <c r="AK146" i="1"/>
  <c r="AJ146" i="1"/>
  <c r="AH146" i="1"/>
  <c r="AG146" i="1"/>
  <c r="AF146" i="1"/>
  <c r="AC146" i="1"/>
  <c r="AB146" i="1"/>
  <c r="Z146" i="1"/>
  <c r="J146" i="1"/>
  <c r="AL146" i="1" s="1"/>
  <c r="I146" i="1"/>
  <c r="H146" i="1"/>
  <c r="AU145" i="1"/>
  <c r="AT145" i="1"/>
  <c r="AS145" i="1"/>
  <c r="J145" i="1"/>
  <c r="I145" i="1"/>
  <c r="H145" i="1"/>
  <c r="J144" i="1"/>
  <c r="I144" i="1"/>
  <c r="H144" i="1"/>
  <c r="BV143" i="1"/>
  <c r="BJ143" i="1"/>
  <c r="BF143" i="1"/>
  <c r="BD143" i="1"/>
  <c r="AP143" i="1"/>
  <c r="AO143" i="1"/>
  <c r="AK143" i="1"/>
  <c r="AJ143" i="1"/>
  <c r="AH143" i="1"/>
  <c r="AG143" i="1"/>
  <c r="AF143" i="1"/>
  <c r="AE143" i="1"/>
  <c r="AD143" i="1"/>
  <c r="AC143" i="1"/>
  <c r="AB143" i="1"/>
  <c r="Z143" i="1"/>
  <c r="J143" i="1"/>
  <c r="AL143" i="1" s="1"/>
  <c r="I143" i="1"/>
  <c r="H143" i="1"/>
  <c r="BV142" i="1"/>
  <c r="BJ142" i="1"/>
  <c r="BF142" i="1"/>
  <c r="BD142" i="1"/>
  <c r="AP142" i="1"/>
  <c r="AO142" i="1"/>
  <c r="AK142" i="1"/>
  <c r="AJ142" i="1"/>
  <c r="AH142" i="1"/>
  <c r="AG142" i="1"/>
  <c r="AF142" i="1"/>
  <c r="AE142" i="1"/>
  <c r="AD142" i="1"/>
  <c r="AC142" i="1"/>
  <c r="AB142" i="1"/>
  <c r="Z142" i="1"/>
  <c r="J142" i="1"/>
  <c r="AL142" i="1" s="1"/>
  <c r="I142" i="1"/>
  <c r="H142" i="1"/>
  <c r="BV141" i="1"/>
  <c r="BJ141" i="1"/>
  <c r="BF141" i="1"/>
  <c r="BD141" i="1"/>
  <c r="AP141" i="1"/>
  <c r="AO141" i="1"/>
  <c r="AK141" i="1"/>
  <c r="AJ141" i="1"/>
  <c r="AH141" i="1"/>
  <c r="AG141" i="1"/>
  <c r="AF141" i="1"/>
  <c r="AE141" i="1"/>
  <c r="AD141" i="1"/>
  <c r="AC141" i="1"/>
  <c r="AB141" i="1"/>
  <c r="Z141" i="1"/>
  <c r="J141" i="1"/>
  <c r="AL141" i="1" s="1"/>
  <c r="I141" i="1"/>
  <c r="H141" i="1"/>
  <c r="BV140" i="1"/>
  <c r="BJ140" i="1"/>
  <c r="BF140" i="1"/>
  <c r="BD140" i="1"/>
  <c r="AP140" i="1"/>
  <c r="AO140" i="1"/>
  <c r="AK140" i="1"/>
  <c r="AJ140" i="1"/>
  <c r="AH140" i="1"/>
  <c r="AG140" i="1"/>
  <c r="AF140" i="1"/>
  <c r="AE140" i="1"/>
  <c r="AD140" i="1"/>
  <c r="AC140" i="1"/>
  <c r="AB140" i="1"/>
  <c r="Z140" i="1"/>
  <c r="J140" i="1"/>
  <c r="AL140" i="1" s="1"/>
  <c r="I140" i="1"/>
  <c r="H140" i="1"/>
  <c r="BV139" i="1"/>
  <c r="BJ139" i="1"/>
  <c r="BF139" i="1"/>
  <c r="BD139" i="1"/>
  <c r="AP139" i="1"/>
  <c r="AO139" i="1"/>
  <c r="AK139" i="1"/>
  <c r="AJ139" i="1"/>
  <c r="AH139" i="1"/>
  <c r="AG139" i="1"/>
  <c r="AF139" i="1"/>
  <c r="AE139" i="1"/>
  <c r="AD139" i="1"/>
  <c r="AC139" i="1"/>
  <c r="AB139" i="1"/>
  <c r="Z139" i="1"/>
  <c r="J139" i="1"/>
  <c r="AL139" i="1" s="1"/>
  <c r="I139" i="1"/>
  <c r="H139" i="1"/>
  <c r="BV138" i="1"/>
  <c r="F44" i="3" s="1"/>
  <c r="I44" i="3" s="1"/>
  <c r="BJ138" i="1"/>
  <c r="BF138" i="1"/>
  <c r="BD138" i="1"/>
  <c r="AP138" i="1"/>
  <c r="AO138" i="1"/>
  <c r="AK138" i="1"/>
  <c r="AJ138" i="1"/>
  <c r="AH138" i="1"/>
  <c r="AG138" i="1"/>
  <c r="AF138" i="1"/>
  <c r="AE138" i="1"/>
  <c r="AD138" i="1"/>
  <c r="AC138" i="1"/>
  <c r="AB138" i="1"/>
  <c r="Z138" i="1"/>
  <c r="J138" i="1"/>
  <c r="AL138" i="1" s="1"/>
  <c r="I138" i="1"/>
  <c r="H138" i="1"/>
  <c r="AU137" i="1"/>
  <c r="AT137" i="1"/>
  <c r="AS137" i="1"/>
  <c r="J137" i="1"/>
  <c r="I137" i="1"/>
  <c r="H137" i="1"/>
  <c r="J136" i="1"/>
  <c r="I136" i="1"/>
  <c r="H136" i="1"/>
  <c r="BJ135" i="1"/>
  <c r="BF135" i="1"/>
  <c r="BD135" i="1"/>
  <c r="AP135" i="1"/>
  <c r="AO135" i="1"/>
  <c r="AK135" i="1"/>
  <c r="AJ135" i="1"/>
  <c r="AH135" i="1"/>
  <c r="AG135" i="1"/>
  <c r="AF135" i="1"/>
  <c r="AE135" i="1"/>
  <c r="AD135" i="1"/>
  <c r="Z135" i="1"/>
  <c r="J135" i="1"/>
  <c r="AL135" i="1" s="1"/>
  <c r="I135" i="1"/>
  <c r="H135" i="1"/>
  <c r="BJ134" i="1"/>
  <c r="BF134" i="1"/>
  <c r="BD134" i="1"/>
  <c r="AP134" i="1"/>
  <c r="AO134" i="1"/>
  <c r="AK134" i="1"/>
  <c r="AJ134" i="1"/>
  <c r="AH134" i="1"/>
  <c r="AG134" i="1"/>
  <c r="AF134" i="1"/>
  <c r="AE134" i="1"/>
  <c r="AD134" i="1"/>
  <c r="Z134" i="1"/>
  <c r="J134" i="1"/>
  <c r="AL134" i="1" s="1"/>
  <c r="I134" i="1"/>
  <c r="H134" i="1"/>
  <c r="BJ133" i="1"/>
  <c r="BF133" i="1"/>
  <c r="BD133" i="1"/>
  <c r="AP133" i="1"/>
  <c r="AO133" i="1"/>
  <c r="AK133" i="1"/>
  <c r="AJ133" i="1"/>
  <c r="AH133" i="1"/>
  <c r="AG133" i="1"/>
  <c r="AF133" i="1"/>
  <c r="AE133" i="1"/>
  <c r="AD133" i="1"/>
  <c r="Z133" i="1"/>
  <c r="J133" i="1"/>
  <c r="AL133" i="1" s="1"/>
  <c r="I133" i="1"/>
  <c r="H133" i="1"/>
  <c r="BJ132" i="1"/>
  <c r="BF132" i="1"/>
  <c r="BD132" i="1"/>
  <c r="AP132" i="1"/>
  <c r="AO132" i="1"/>
  <c r="AK132" i="1"/>
  <c r="AJ132" i="1"/>
  <c r="AH132" i="1"/>
  <c r="AG132" i="1"/>
  <c r="AF132" i="1"/>
  <c r="AE132" i="1"/>
  <c r="AD132" i="1"/>
  <c r="Z132" i="1"/>
  <c r="J132" i="1"/>
  <c r="AL132" i="1" s="1"/>
  <c r="I132" i="1"/>
  <c r="H132" i="1"/>
  <c r="BJ131" i="1"/>
  <c r="BF131" i="1"/>
  <c r="BD131" i="1"/>
  <c r="AP131" i="1"/>
  <c r="AO131" i="1"/>
  <c r="AK131" i="1"/>
  <c r="AJ131" i="1"/>
  <c r="AH131" i="1"/>
  <c r="AG131" i="1"/>
  <c r="AF131" i="1"/>
  <c r="AE131" i="1"/>
  <c r="AD131" i="1"/>
  <c r="Z131" i="1"/>
  <c r="J131" i="1"/>
  <c r="AL131" i="1" s="1"/>
  <c r="I131" i="1"/>
  <c r="H131" i="1"/>
  <c r="AU130" i="1"/>
  <c r="AT130" i="1"/>
  <c r="AS130" i="1"/>
  <c r="J130" i="1"/>
  <c r="I130" i="1"/>
  <c r="H130" i="1"/>
  <c r="BJ129" i="1"/>
  <c r="BF129" i="1"/>
  <c r="BD129" i="1"/>
  <c r="AP129" i="1"/>
  <c r="AO129" i="1"/>
  <c r="AK129" i="1"/>
  <c r="AJ129" i="1"/>
  <c r="AH129" i="1"/>
  <c r="AE129" i="1"/>
  <c r="AD129" i="1"/>
  <c r="AC129" i="1"/>
  <c r="AB129" i="1"/>
  <c r="Z129" i="1"/>
  <c r="J129" i="1"/>
  <c r="AL129" i="1" s="1"/>
  <c r="I129" i="1"/>
  <c r="H129" i="1"/>
  <c r="AU128" i="1"/>
  <c r="AT128" i="1"/>
  <c r="AS128" i="1"/>
  <c r="J128" i="1"/>
  <c r="I128" i="1"/>
  <c r="H128" i="1"/>
  <c r="BJ127" i="1"/>
  <c r="BF127" i="1"/>
  <c r="BD127" i="1"/>
  <c r="AP127" i="1"/>
  <c r="AO127" i="1"/>
  <c r="AK127" i="1"/>
  <c r="AJ127" i="1"/>
  <c r="AH127" i="1"/>
  <c r="AG127" i="1"/>
  <c r="AF127" i="1"/>
  <c r="AE127" i="1"/>
  <c r="AD127" i="1"/>
  <c r="Z127" i="1"/>
  <c r="J127" i="1"/>
  <c r="AL127" i="1" s="1"/>
  <c r="I127" i="1"/>
  <c r="H127" i="1"/>
  <c r="AU126" i="1"/>
  <c r="AT126" i="1"/>
  <c r="AS126" i="1"/>
  <c r="J126" i="1"/>
  <c r="I126" i="1"/>
  <c r="H126" i="1"/>
  <c r="BJ125" i="1"/>
  <c r="BF125" i="1"/>
  <c r="BD125" i="1"/>
  <c r="AP125" i="1"/>
  <c r="AO125" i="1"/>
  <c r="AK125" i="1"/>
  <c r="AJ125" i="1"/>
  <c r="AH125" i="1"/>
  <c r="AG125" i="1"/>
  <c r="AF125" i="1"/>
  <c r="AC125" i="1"/>
  <c r="AB125" i="1"/>
  <c r="Z125" i="1"/>
  <c r="J125" i="1"/>
  <c r="AL125" i="1" s="1"/>
  <c r="I125" i="1"/>
  <c r="H125" i="1"/>
  <c r="BJ124" i="1"/>
  <c r="BF124" i="1"/>
  <c r="BD124" i="1"/>
  <c r="AP124" i="1"/>
  <c r="AO124" i="1"/>
  <c r="AK124" i="1"/>
  <c r="AJ124" i="1"/>
  <c r="AH124" i="1"/>
  <c r="AG124" i="1"/>
  <c r="AF124" i="1"/>
  <c r="AC124" i="1"/>
  <c r="AB124" i="1"/>
  <c r="Z124" i="1"/>
  <c r="J124" i="1"/>
  <c r="AL124" i="1" s="1"/>
  <c r="I124" i="1"/>
  <c r="H124" i="1"/>
  <c r="BJ123" i="1"/>
  <c r="BF123" i="1"/>
  <c r="BD123" i="1"/>
  <c r="AP123" i="1"/>
  <c r="AO123" i="1"/>
  <c r="AK123" i="1"/>
  <c r="AJ123" i="1"/>
  <c r="AH123" i="1"/>
  <c r="AG123" i="1"/>
  <c r="AF123" i="1"/>
  <c r="AC123" i="1"/>
  <c r="AB123" i="1"/>
  <c r="Z123" i="1"/>
  <c r="J123" i="1"/>
  <c r="AL123" i="1" s="1"/>
  <c r="I123" i="1"/>
  <c r="H123" i="1"/>
  <c r="BJ122" i="1"/>
  <c r="BF122" i="1"/>
  <c r="BD122" i="1"/>
  <c r="AP122" i="1"/>
  <c r="AO122" i="1"/>
  <c r="AK122" i="1"/>
  <c r="AJ122" i="1"/>
  <c r="AH122" i="1"/>
  <c r="AG122" i="1"/>
  <c r="AF122" i="1"/>
  <c r="AC122" i="1"/>
  <c r="AB122" i="1"/>
  <c r="Z122" i="1"/>
  <c r="J122" i="1"/>
  <c r="AL122" i="1" s="1"/>
  <c r="I122" i="1"/>
  <c r="H122" i="1"/>
  <c r="BJ121" i="1"/>
  <c r="BF121" i="1"/>
  <c r="BD121" i="1"/>
  <c r="AP121" i="1"/>
  <c r="AO121" i="1"/>
  <c r="AK121" i="1"/>
  <c r="AJ121" i="1"/>
  <c r="AH121" i="1"/>
  <c r="AG121" i="1"/>
  <c r="AF121" i="1"/>
  <c r="AC121" i="1"/>
  <c r="AB121" i="1"/>
  <c r="Z121" i="1"/>
  <c r="J121" i="1"/>
  <c r="AL121" i="1" s="1"/>
  <c r="I121" i="1"/>
  <c r="H121" i="1"/>
  <c r="BJ120" i="1"/>
  <c r="BF120" i="1"/>
  <c r="BD120" i="1"/>
  <c r="AP120" i="1"/>
  <c r="AO120" i="1"/>
  <c r="AK120" i="1"/>
  <c r="AJ120" i="1"/>
  <c r="AH120" i="1"/>
  <c r="AG120" i="1"/>
  <c r="AF120" i="1"/>
  <c r="AC120" i="1"/>
  <c r="AB120" i="1"/>
  <c r="Z120" i="1"/>
  <c r="J120" i="1"/>
  <c r="AL120" i="1" s="1"/>
  <c r="I120" i="1"/>
  <c r="H120" i="1"/>
  <c r="BJ119" i="1"/>
  <c r="BF119" i="1"/>
  <c r="BD119" i="1"/>
  <c r="AP119" i="1"/>
  <c r="AO119" i="1"/>
  <c r="AK119" i="1"/>
  <c r="AJ119" i="1"/>
  <c r="AH119" i="1"/>
  <c r="AG119" i="1"/>
  <c r="AF119" i="1"/>
  <c r="AC119" i="1"/>
  <c r="AB119" i="1"/>
  <c r="Z119" i="1"/>
  <c r="J119" i="1"/>
  <c r="AL119" i="1" s="1"/>
  <c r="I119" i="1"/>
  <c r="H119" i="1"/>
  <c r="AU118" i="1"/>
  <c r="AT118" i="1"/>
  <c r="AS118" i="1"/>
  <c r="J118" i="1"/>
  <c r="I118" i="1"/>
  <c r="H118" i="1"/>
  <c r="BJ117" i="1"/>
  <c r="BF117" i="1"/>
  <c r="BD117" i="1"/>
  <c r="AP117" i="1"/>
  <c r="AO117" i="1"/>
  <c r="AK117" i="1"/>
  <c r="AJ117" i="1"/>
  <c r="AH117" i="1"/>
  <c r="AG117" i="1"/>
  <c r="AF117" i="1"/>
  <c r="AE117" i="1"/>
  <c r="AD117" i="1"/>
  <c r="AC117" i="1"/>
  <c r="AB117" i="1"/>
  <c r="Z117" i="1"/>
  <c r="J117" i="1"/>
  <c r="AL117" i="1" s="1"/>
  <c r="I117" i="1"/>
  <c r="H117" i="1"/>
  <c r="BJ116" i="1"/>
  <c r="BF116" i="1"/>
  <c r="BD116" i="1"/>
  <c r="AP116" i="1"/>
  <c r="AO116" i="1"/>
  <c r="AK116" i="1"/>
  <c r="AJ116" i="1"/>
  <c r="AH116" i="1"/>
  <c r="AG116" i="1"/>
  <c r="AF116" i="1"/>
  <c r="AE116" i="1"/>
  <c r="AD116" i="1"/>
  <c r="AC116" i="1"/>
  <c r="AB116" i="1"/>
  <c r="Z116" i="1"/>
  <c r="J116" i="1"/>
  <c r="AL116" i="1" s="1"/>
  <c r="I116" i="1"/>
  <c r="H116" i="1"/>
  <c r="BJ115" i="1"/>
  <c r="BF115" i="1"/>
  <c r="BD115" i="1"/>
  <c r="AP115" i="1"/>
  <c r="AO115" i="1"/>
  <c r="AK115" i="1"/>
  <c r="AJ115" i="1"/>
  <c r="AH115" i="1"/>
  <c r="AG115" i="1"/>
  <c r="AF115" i="1"/>
  <c r="AC115" i="1"/>
  <c r="AB115" i="1"/>
  <c r="Z115" i="1"/>
  <c r="J115" i="1"/>
  <c r="AL115" i="1" s="1"/>
  <c r="I115" i="1"/>
  <c r="H115" i="1"/>
  <c r="BJ114" i="1"/>
  <c r="BF114" i="1"/>
  <c r="BD114" i="1"/>
  <c r="AP114" i="1"/>
  <c r="AO114" i="1"/>
  <c r="AK114" i="1"/>
  <c r="AJ114" i="1"/>
  <c r="AH114" i="1"/>
  <c r="AG114" i="1"/>
  <c r="AF114" i="1"/>
  <c r="AC114" i="1"/>
  <c r="AB114" i="1"/>
  <c r="Z114" i="1"/>
  <c r="J114" i="1"/>
  <c r="AL114" i="1" s="1"/>
  <c r="I114" i="1"/>
  <c r="H114" i="1"/>
  <c r="BJ113" i="1"/>
  <c r="BF113" i="1"/>
  <c r="BD113" i="1"/>
  <c r="AP113" i="1"/>
  <c r="AO113" i="1"/>
  <c r="AK113" i="1"/>
  <c r="AJ113" i="1"/>
  <c r="AH113" i="1"/>
  <c r="AG113" i="1"/>
  <c r="AF113" i="1"/>
  <c r="AC113" i="1"/>
  <c r="AB113" i="1"/>
  <c r="Z113" i="1"/>
  <c r="J113" i="1"/>
  <c r="AL113" i="1" s="1"/>
  <c r="I113" i="1"/>
  <c r="H113" i="1"/>
  <c r="BJ112" i="1"/>
  <c r="BF112" i="1"/>
  <c r="BD112" i="1"/>
  <c r="AP112" i="1"/>
  <c r="AO112" i="1"/>
  <c r="AK112" i="1"/>
  <c r="AJ112" i="1"/>
  <c r="AH112" i="1"/>
  <c r="AG112" i="1"/>
  <c r="AF112" i="1"/>
  <c r="AC112" i="1"/>
  <c r="AB112" i="1"/>
  <c r="Z112" i="1"/>
  <c r="J112" i="1"/>
  <c r="AL112" i="1" s="1"/>
  <c r="I112" i="1"/>
  <c r="H112" i="1"/>
  <c r="BJ111" i="1"/>
  <c r="BF111" i="1"/>
  <c r="BD111" i="1"/>
  <c r="AP111" i="1"/>
  <c r="AO111" i="1"/>
  <c r="AK111" i="1"/>
  <c r="AJ111" i="1"/>
  <c r="AH111" i="1"/>
  <c r="AG111" i="1"/>
  <c r="AF111" i="1"/>
  <c r="AC111" i="1"/>
  <c r="AB111" i="1"/>
  <c r="Z111" i="1"/>
  <c r="J111" i="1"/>
  <c r="AL111" i="1" s="1"/>
  <c r="I111" i="1"/>
  <c r="H111" i="1"/>
  <c r="BJ110" i="1"/>
  <c r="BF110" i="1"/>
  <c r="BD110" i="1"/>
  <c r="AP110" i="1"/>
  <c r="AO110" i="1"/>
  <c r="AK110" i="1"/>
  <c r="AJ110" i="1"/>
  <c r="AH110" i="1"/>
  <c r="AG110" i="1"/>
  <c r="AF110" i="1"/>
  <c r="AC110" i="1"/>
  <c r="AB110" i="1"/>
  <c r="Z110" i="1"/>
  <c r="J110" i="1"/>
  <c r="AL110" i="1" s="1"/>
  <c r="I110" i="1"/>
  <c r="H110" i="1"/>
  <c r="BJ109" i="1"/>
  <c r="BF109" i="1"/>
  <c r="BD109" i="1"/>
  <c r="AP109" i="1"/>
  <c r="AO109" i="1"/>
  <c r="AK109" i="1"/>
  <c r="AJ109" i="1"/>
  <c r="AH109" i="1"/>
  <c r="AG109" i="1"/>
  <c r="AF109" i="1"/>
  <c r="AC109" i="1"/>
  <c r="AB109" i="1"/>
  <c r="Z109" i="1"/>
  <c r="J109" i="1"/>
  <c r="AL109" i="1" s="1"/>
  <c r="I109" i="1"/>
  <c r="H109" i="1"/>
  <c r="BJ108" i="1"/>
  <c r="BF108" i="1"/>
  <c r="BD108" i="1"/>
  <c r="AP108" i="1"/>
  <c r="AO108" i="1"/>
  <c r="AK108" i="1"/>
  <c r="AJ108" i="1"/>
  <c r="AH108" i="1"/>
  <c r="AG108" i="1"/>
  <c r="AF108" i="1"/>
  <c r="AC108" i="1"/>
  <c r="AB108" i="1"/>
  <c r="Z108" i="1"/>
  <c r="J108" i="1"/>
  <c r="AL108" i="1" s="1"/>
  <c r="I108" i="1"/>
  <c r="H108" i="1"/>
  <c r="BJ107" i="1"/>
  <c r="BF107" i="1"/>
  <c r="BD107" i="1"/>
  <c r="AP107" i="1"/>
  <c r="AO107" i="1"/>
  <c r="AK107" i="1"/>
  <c r="AJ107" i="1"/>
  <c r="AH107" i="1"/>
  <c r="AG107" i="1"/>
  <c r="AF107" i="1"/>
  <c r="AC107" i="1"/>
  <c r="AB107" i="1"/>
  <c r="Z107" i="1"/>
  <c r="J107" i="1"/>
  <c r="AL107" i="1" s="1"/>
  <c r="I107" i="1"/>
  <c r="H107" i="1"/>
  <c r="AU106" i="1"/>
  <c r="AT106" i="1"/>
  <c r="AS106" i="1"/>
  <c r="J106" i="1"/>
  <c r="I106" i="1"/>
  <c r="H106" i="1"/>
  <c r="BJ105" i="1"/>
  <c r="BF105" i="1"/>
  <c r="BD105" i="1"/>
  <c r="AP105" i="1"/>
  <c r="AO105" i="1"/>
  <c r="AK105" i="1"/>
  <c r="AJ105" i="1"/>
  <c r="AH105" i="1"/>
  <c r="AG105" i="1"/>
  <c r="AF105" i="1"/>
  <c r="AE105" i="1"/>
  <c r="AD105" i="1"/>
  <c r="AC105" i="1"/>
  <c r="AB105" i="1"/>
  <c r="Z105" i="1"/>
  <c r="J105" i="1"/>
  <c r="AL105" i="1" s="1"/>
  <c r="I105" i="1"/>
  <c r="H105" i="1"/>
  <c r="BJ104" i="1"/>
  <c r="BF104" i="1"/>
  <c r="BD104" i="1"/>
  <c r="AP104" i="1"/>
  <c r="AO104" i="1"/>
  <c r="AK104" i="1"/>
  <c r="AJ104" i="1"/>
  <c r="AH104" i="1"/>
  <c r="AG104" i="1"/>
  <c r="AF104" i="1"/>
  <c r="AE104" i="1"/>
  <c r="AD104" i="1"/>
  <c r="AC104" i="1"/>
  <c r="AB104" i="1"/>
  <c r="Z104" i="1"/>
  <c r="J104" i="1"/>
  <c r="AL104" i="1" s="1"/>
  <c r="I104" i="1"/>
  <c r="H104" i="1"/>
  <c r="BJ103" i="1"/>
  <c r="BF103" i="1"/>
  <c r="BD103" i="1"/>
  <c r="AP103" i="1"/>
  <c r="AO103" i="1"/>
  <c r="AK103" i="1"/>
  <c r="AJ103" i="1"/>
  <c r="AH103" i="1"/>
  <c r="AG103" i="1"/>
  <c r="AF103" i="1"/>
  <c r="AC103" i="1"/>
  <c r="AB103" i="1"/>
  <c r="Z103" i="1"/>
  <c r="J103" i="1"/>
  <c r="AL103" i="1" s="1"/>
  <c r="I103" i="1"/>
  <c r="H103" i="1"/>
  <c r="BJ102" i="1"/>
  <c r="BF102" i="1"/>
  <c r="BD102" i="1"/>
  <c r="AP102" i="1"/>
  <c r="AO102" i="1"/>
  <c r="AK102" i="1"/>
  <c r="AJ102" i="1"/>
  <c r="AH102" i="1"/>
  <c r="AE102" i="1"/>
  <c r="AD102" i="1"/>
  <c r="AC102" i="1"/>
  <c r="AB102" i="1"/>
  <c r="Z102" i="1"/>
  <c r="J102" i="1"/>
  <c r="AL102" i="1" s="1"/>
  <c r="I102" i="1"/>
  <c r="H102" i="1"/>
  <c r="BJ101" i="1"/>
  <c r="BF101" i="1"/>
  <c r="BD101" i="1"/>
  <c r="AP101" i="1"/>
  <c r="AO101" i="1"/>
  <c r="AK101" i="1"/>
  <c r="AJ101" i="1"/>
  <c r="AH101" i="1"/>
  <c r="AG101" i="1"/>
  <c r="AF101" i="1"/>
  <c r="AC101" i="1"/>
  <c r="AB101" i="1"/>
  <c r="Z101" i="1"/>
  <c r="J101" i="1"/>
  <c r="AL101" i="1" s="1"/>
  <c r="I101" i="1"/>
  <c r="H101" i="1"/>
  <c r="BJ100" i="1"/>
  <c r="BF100" i="1"/>
  <c r="BD100" i="1"/>
  <c r="AP100" i="1"/>
  <c r="AO100" i="1"/>
  <c r="AK100" i="1"/>
  <c r="AJ100" i="1"/>
  <c r="AH100" i="1"/>
  <c r="AG100" i="1"/>
  <c r="AF100" i="1"/>
  <c r="AC100" i="1"/>
  <c r="AB100" i="1"/>
  <c r="Z100" i="1"/>
  <c r="J100" i="1"/>
  <c r="AL100" i="1" s="1"/>
  <c r="I100" i="1"/>
  <c r="H100" i="1"/>
  <c r="BJ99" i="1"/>
  <c r="BF99" i="1"/>
  <c r="BD99" i="1"/>
  <c r="AP99" i="1"/>
  <c r="AO99" i="1"/>
  <c r="AK99" i="1"/>
  <c r="AJ99" i="1"/>
  <c r="AH99" i="1"/>
  <c r="AG99" i="1"/>
  <c r="AF99" i="1"/>
  <c r="AC99" i="1"/>
  <c r="AB99" i="1"/>
  <c r="Z99" i="1"/>
  <c r="J99" i="1"/>
  <c r="AL99" i="1" s="1"/>
  <c r="I99" i="1"/>
  <c r="H99" i="1"/>
  <c r="BJ98" i="1"/>
  <c r="BF98" i="1"/>
  <c r="BD98" i="1"/>
  <c r="AP98" i="1"/>
  <c r="AO98" i="1"/>
  <c r="AK98" i="1"/>
  <c r="AJ98" i="1"/>
  <c r="AH98" i="1"/>
  <c r="AG98" i="1"/>
  <c r="AF98" i="1"/>
  <c r="AC98" i="1"/>
  <c r="AB98" i="1"/>
  <c r="Z98" i="1"/>
  <c r="J98" i="1"/>
  <c r="AL98" i="1" s="1"/>
  <c r="I98" i="1"/>
  <c r="H98" i="1"/>
  <c r="BJ97" i="1"/>
  <c r="BF97" i="1"/>
  <c r="BD97" i="1"/>
  <c r="AP97" i="1"/>
  <c r="AO97" i="1"/>
  <c r="AK97" i="1"/>
  <c r="AJ97" i="1"/>
  <c r="AH97" i="1"/>
  <c r="AG97" i="1"/>
  <c r="AF97" i="1"/>
  <c r="AC97" i="1"/>
  <c r="AB97" i="1"/>
  <c r="Z97" i="1"/>
  <c r="J97" i="1"/>
  <c r="AL97" i="1" s="1"/>
  <c r="I97" i="1"/>
  <c r="H97" i="1"/>
  <c r="BJ96" i="1"/>
  <c r="BF96" i="1"/>
  <c r="BD96" i="1"/>
  <c r="AP96" i="1"/>
  <c r="AO96" i="1"/>
  <c r="AK96" i="1"/>
  <c r="AJ96" i="1"/>
  <c r="AH96" i="1"/>
  <c r="AG96" i="1"/>
  <c r="AF96" i="1"/>
  <c r="AC96" i="1"/>
  <c r="AB96" i="1"/>
  <c r="Z96" i="1"/>
  <c r="J96" i="1"/>
  <c r="AL96" i="1" s="1"/>
  <c r="I96" i="1"/>
  <c r="H96" i="1"/>
  <c r="AU95" i="1"/>
  <c r="AT95" i="1"/>
  <c r="AS95" i="1"/>
  <c r="J95" i="1"/>
  <c r="I95" i="1"/>
  <c r="H95" i="1"/>
  <c r="BJ94" i="1"/>
  <c r="BF94" i="1"/>
  <c r="BD94" i="1"/>
  <c r="AP94" i="1"/>
  <c r="AO94" i="1"/>
  <c r="AK94" i="1"/>
  <c r="AJ94" i="1"/>
  <c r="AH94" i="1"/>
  <c r="AG94" i="1"/>
  <c r="AF94" i="1"/>
  <c r="AE94" i="1"/>
  <c r="AD94" i="1"/>
  <c r="AC94" i="1"/>
  <c r="AB94" i="1"/>
  <c r="Z94" i="1"/>
  <c r="J94" i="1"/>
  <c r="AL94" i="1" s="1"/>
  <c r="I94" i="1"/>
  <c r="H94" i="1"/>
  <c r="BJ93" i="1"/>
  <c r="BF93" i="1"/>
  <c r="BD93" i="1"/>
  <c r="AP93" i="1"/>
  <c r="AO93" i="1"/>
  <c r="AK93" i="1"/>
  <c r="AJ93" i="1"/>
  <c r="AH93" i="1"/>
  <c r="AG93" i="1"/>
  <c r="AF93" i="1"/>
  <c r="AE93" i="1"/>
  <c r="AD93" i="1"/>
  <c r="AC93" i="1"/>
  <c r="AB93" i="1"/>
  <c r="Z93" i="1"/>
  <c r="J93" i="1"/>
  <c r="AL93" i="1" s="1"/>
  <c r="I93" i="1"/>
  <c r="H93" i="1"/>
  <c r="BJ92" i="1"/>
  <c r="BF92" i="1"/>
  <c r="BD92" i="1"/>
  <c r="AP92" i="1"/>
  <c r="AO92" i="1"/>
  <c r="AK92" i="1"/>
  <c r="AJ92" i="1"/>
  <c r="AH92" i="1"/>
  <c r="AG92" i="1"/>
  <c r="AF92" i="1"/>
  <c r="AC92" i="1"/>
  <c r="AB92" i="1"/>
  <c r="Z92" i="1"/>
  <c r="J92" i="1"/>
  <c r="AL92" i="1" s="1"/>
  <c r="I92" i="1"/>
  <c r="H92" i="1"/>
  <c r="BJ91" i="1"/>
  <c r="BF91" i="1"/>
  <c r="BD91" i="1"/>
  <c r="AP91" i="1"/>
  <c r="AO91" i="1"/>
  <c r="AK91" i="1"/>
  <c r="AJ91" i="1"/>
  <c r="AH91" i="1"/>
  <c r="AG91" i="1"/>
  <c r="AF91" i="1"/>
  <c r="AC91" i="1"/>
  <c r="AB91" i="1"/>
  <c r="Z91" i="1"/>
  <c r="J91" i="1"/>
  <c r="AL91" i="1" s="1"/>
  <c r="I91" i="1"/>
  <c r="H91" i="1"/>
  <c r="BJ90" i="1"/>
  <c r="BF90" i="1"/>
  <c r="BD90" i="1"/>
  <c r="AP90" i="1"/>
  <c r="AO90" i="1"/>
  <c r="AK90" i="1"/>
  <c r="AJ90" i="1"/>
  <c r="AH90" i="1"/>
  <c r="AG90" i="1"/>
  <c r="AF90" i="1"/>
  <c r="AC90" i="1"/>
  <c r="AB90" i="1"/>
  <c r="Z90" i="1"/>
  <c r="J90" i="1"/>
  <c r="AL90" i="1" s="1"/>
  <c r="I90" i="1"/>
  <c r="H90" i="1"/>
  <c r="BJ89" i="1"/>
  <c r="BF89" i="1"/>
  <c r="BD89" i="1"/>
  <c r="AP89" i="1"/>
  <c r="AO89" i="1"/>
  <c r="AK89" i="1"/>
  <c r="AJ89" i="1"/>
  <c r="AH89" i="1"/>
  <c r="AG89" i="1"/>
  <c r="AF89" i="1"/>
  <c r="AC89" i="1"/>
  <c r="AB89" i="1"/>
  <c r="Z89" i="1"/>
  <c r="J89" i="1"/>
  <c r="AL89" i="1" s="1"/>
  <c r="I89" i="1"/>
  <c r="H89" i="1"/>
  <c r="BJ88" i="1"/>
  <c r="BF88" i="1"/>
  <c r="BD88" i="1"/>
  <c r="AP88" i="1"/>
  <c r="AO88" i="1"/>
  <c r="AK88" i="1"/>
  <c r="AJ88" i="1"/>
  <c r="AH88" i="1"/>
  <c r="AG88" i="1"/>
  <c r="AF88" i="1"/>
  <c r="AC88" i="1"/>
  <c r="AB88" i="1"/>
  <c r="Z88" i="1"/>
  <c r="J88" i="1"/>
  <c r="AL88" i="1" s="1"/>
  <c r="I88" i="1"/>
  <c r="H88" i="1"/>
  <c r="BJ87" i="1"/>
  <c r="BF87" i="1"/>
  <c r="BD87" i="1"/>
  <c r="AP87" i="1"/>
  <c r="AO87" i="1"/>
  <c r="AK87" i="1"/>
  <c r="AJ87" i="1"/>
  <c r="AH87" i="1"/>
  <c r="AG87" i="1"/>
  <c r="AF87" i="1"/>
  <c r="AC87" i="1"/>
  <c r="AB87" i="1"/>
  <c r="Z87" i="1"/>
  <c r="J87" i="1"/>
  <c r="AL87" i="1" s="1"/>
  <c r="I87" i="1"/>
  <c r="H87" i="1"/>
  <c r="BJ86" i="1"/>
  <c r="BF86" i="1"/>
  <c r="BD86" i="1"/>
  <c r="AP86" i="1"/>
  <c r="AO86" i="1"/>
  <c r="AK86" i="1"/>
  <c r="AJ86" i="1"/>
  <c r="AH86" i="1"/>
  <c r="AG86" i="1"/>
  <c r="AF86" i="1"/>
  <c r="AC86" i="1"/>
  <c r="AB86" i="1"/>
  <c r="Z86" i="1"/>
  <c r="J86" i="1"/>
  <c r="AL86" i="1" s="1"/>
  <c r="I86" i="1"/>
  <c r="H86" i="1"/>
  <c r="BJ85" i="1"/>
  <c r="BF85" i="1"/>
  <c r="BD85" i="1"/>
  <c r="AP85" i="1"/>
  <c r="AO85" i="1"/>
  <c r="AK85" i="1"/>
  <c r="AJ85" i="1"/>
  <c r="AH85" i="1"/>
  <c r="AG85" i="1"/>
  <c r="AF85" i="1"/>
  <c r="AC85" i="1"/>
  <c r="AB85" i="1"/>
  <c r="Z85" i="1"/>
  <c r="J85" i="1"/>
  <c r="AL85" i="1" s="1"/>
  <c r="I85" i="1"/>
  <c r="H85" i="1"/>
  <c r="BJ84" i="1"/>
  <c r="BF84" i="1"/>
  <c r="BD84" i="1"/>
  <c r="AP84" i="1"/>
  <c r="AO84" i="1"/>
  <c r="AK84" i="1"/>
  <c r="AJ84" i="1"/>
  <c r="AH84" i="1"/>
  <c r="AG84" i="1"/>
  <c r="AF84" i="1"/>
  <c r="AC84" i="1"/>
  <c r="AB84" i="1"/>
  <c r="Z84" i="1"/>
  <c r="J84" i="1"/>
  <c r="AL84" i="1" s="1"/>
  <c r="I84" i="1"/>
  <c r="H84" i="1"/>
  <c r="BJ83" i="1"/>
  <c r="BF83" i="1"/>
  <c r="BD83" i="1"/>
  <c r="AP83" i="1"/>
  <c r="AO83" i="1"/>
  <c r="AK83" i="1"/>
  <c r="AJ83" i="1"/>
  <c r="AH83" i="1"/>
  <c r="AG83" i="1"/>
  <c r="AF83" i="1"/>
  <c r="AC83" i="1"/>
  <c r="AB83" i="1"/>
  <c r="Z83" i="1"/>
  <c r="J83" i="1"/>
  <c r="AL83" i="1" s="1"/>
  <c r="I83" i="1"/>
  <c r="H83" i="1"/>
  <c r="BJ82" i="1"/>
  <c r="BF82" i="1"/>
  <c r="BD82" i="1"/>
  <c r="AP82" i="1"/>
  <c r="AO82" i="1"/>
  <c r="AK82" i="1"/>
  <c r="AJ82" i="1"/>
  <c r="AH82" i="1"/>
  <c r="AG82" i="1"/>
  <c r="AF82" i="1"/>
  <c r="AC82" i="1"/>
  <c r="AB82" i="1"/>
  <c r="Z82" i="1"/>
  <c r="J82" i="1"/>
  <c r="AL82" i="1" s="1"/>
  <c r="I82" i="1"/>
  <c r="H82" i="1"/>
  <c r="BJ81" i="1"/>
  <c r="BF81" i="1"/>
  <c r="BD81" i="1"/>
  <c r="AP81" i="1"/>
  <c r="AO81" i="1"/>
  <c r="AK81" i="1"/>
  <c r="AJ81" i="1"/>
  <c r="AH81" i="1"/>
  <c r="AG81" i="1"/>
  <c r="AF81" i="1"/>
  <c r="AC81" i="1"/>
  <c r="AB81" i="1"/>
  <c r="Z81" i="1"/>
  <c r="J81" i="1"/>
  <c r="AL81" i="1" s="1"/>
  <c r="I81" i="1"/>
  <c r="H81" i="1"/>
  <c r="BJ80" i="1"/>
  <c r="BF80" i="1"/>
  <c r="BD80" i="1"/>
  <c r="AP80" i="1"/>
  <c r="AO80" i="1"/>
  <c r="AK80" i="1"/>
  <c r="AJ80" i="1"/>
  <c r="AH80" i="1"/>
  <c r="AG80" i="1"/>
  <c r="AF80" i="1"/>
  <c r="AC80" i="1"/>
  <c r="AB80" i="1"/>
  <c r="Z80" i="1"/>
  <c r="J80" i="1"/>
  <c r="AL80" i="1" s="1"/>
  <c r="I80" i="1"/>
  <c r="H80" i="1"/>
  <c r="BJ79" i="1"/>
  <c r="BF79" i="1"/>
  <c r="BD79" i="1"/>
  <c r="AP79" i="1"/>
  <c r="AO79" i="1"/>
  <c r="AK79" i="1"/>
  <c r="AJ79" i="1"/>
  <c r="AH79" i="1"/>
  <c r="AG79" i="1"/>
  <c r="AF79" i="1"/>
  <c r="AC79" i="1"/>
  <c r="AB79" i="1"/>
  <c r="Z79" i="1"/>
  <c r="J79" i="1"/>
  <c r="AL79" i="1" s="1"/>
  <c r="I79" i="1"/>
  <c r="H79" i="1"/>
  <c r="BJ78" i="1"/>
  <c r="BF78" i="1"/>
  <c r="BD78" i="1"/>
  <c r="AP78" i="1"/>
  <c r="AO78" i="1"/>
  <c r="AK78" i="1"/>
  <c r="AJ78" i="1"/>
  <c r="AH78" i="1"/>
  <c r="AG78" i="1"/>
  <c r="AF78" i="1"/>
  <c r="AC78" i="1"/>
  <c r="AB78" i="1"/>
  <c r="Z78" i="1"/>
  <c r="J78" i="1"/>
  <c r="AL78" i="1" s="1"/>
  <c r="I78" i="1"/>
  <c r="H78" i="1"/>
  <c r="BJ77" i="1"/>
  <c r="BF77" i="1"/>
  <c r="BD77" i="1"/>
  <c r="AP77" i="1"/>
  <c r="AO77" i="1"/>
  <c r="AK77" i="1"/>
  <c r="AJ77" i="1"/>
  <c r="AH77" i="1"/>
  <c r="AG77" i="1"/>
  <c r="AF77" i="1"/>
  <c r="AC77" i="1"/>
  <c r="AB77" i="1"/>
  <c r="Z77" i="1"/>
  <c r="J77" i="1"/>
  <c r="AL77" i="1" s="1"/>
  <c r="I77" i="1"/>
  <c r="H77" i="1"/>
  <c r="BJ76" i="1"/>
  <c r="BF76" i="1"/>
  <c r="BD76" i="1"/>
  <c r="AP76" i="1"/>
  <c r="AO76" i="1"/>
  <c r="AK76" i="1"/>
  <c r="AJ76" i="1"/>
  <c r="AH76" i="1"/>
  <c r="AG76" i="1"/>
  <c r="AF76" i="1"/>
  <c r="AC76" i="1"/>
  <c r="AB76" i="1"/>
  <c r="Z76" i="1"/>
  <c r="J76" i="1"/>
  <c r="AL76" i="1" s="1"/>
  <c r="I76" i="1"/>
  <c r="H76" i="1"/>
  <c r="BJ75" i="1"/>
  <c r="BF75" i="1"/>
  <c r="BD75" i="1"/>
  <c r="AP75" i="1"/>
  <c r="AO75" i="1"/>
  <c r="AK75" i="1"/>
  <c r="AJ75" i="1"/>
  <c r="AH75" i="1"/>
  <c r="AG75" i="1"/>
  <c r="AF75" i="1"/>
  <c r="AC75" i="1"/>
  <c r="AB75" i="1"/>
  <c r="Z75" i="1"/>
  <c r="J75" i="1"/>
  <c r="AL75" i="1" s="1"/>
  <c r="I75" i="1"/>
  <c r="H75" i="1"/>
  <c r="AU74" i="1"/>
  <c r="AT74" i="1"/>
  <c r="AS74" i="1"/>
  <c r="J74" i="1"/>
  <c r="I74" i="1"/>
  <c r="H74" i="1"/>
  <c r="BJ73" i="1"/>
  <c r="BF73" i="1"/>
  <c r="BD73" i="1"/>
  <c r="AP73" i="1"/>
  <c r="AO73" i="1"/>
  <c r="AK73" i="1"/>
  <c r="AJ73" i="1"/>
  <c r="AH73" i="1"/>
  <c r="AG73" i="1"/>
  <c r="AF73" i="1"/>
  <c r="AE73" i="1"/>
  <c r="AD73" i="1"/>
  <c r="AC73" i="1"/>
  <c r="AB73" i="1"/>
  <c r="Z73" i="1"/>
  <c r="J73" i="1"/>
  <c r="AL73" i="1" s="1"/>
  <c r="I73" i="1"/>
  <c r="H73" i="1"/>
  <c r="BJ72" i="1"/>
  <c r="BF72" i="1"/>
  <c r="BD72" i="1"/>
  <c r="AP72" i="1"/>
  <c r="AO72" i="1"/>
  <c r="AK72" i="1"/>
  <c r="AJ72" i="1"/>
  <c r="AH72" i="1"/>
  <c r="AG72" i="1"/>
  <c r="AF72" i="1"/>
  <c r="AE72" i="1"/>
  <c r="AD72" i="1"/>
  <c r="AC72" i="1"/>
  <c r="AB72" i="1"/>
  <c r="Z72" i="1"/>
  <c r="J72" i="1"/>
  <c r="AL72" i="1" s="1"/>
  <c r="I72" i="1"/>
  <c r="H72" i="1"/>
  <c r="BJ71" i="1"/>
  <c r="BF71" i="1"/>
  <c r="BD71" i="1"/>
  <c r="AP71" i="1"/>
  <c r="AO71" i="1"/>
  <c r="AK71" i="1"/>
  <c r="AJ71" i="1"/>
  <c r="AH71" i="1"/>
  <c r="AG71" i="1"/>
  <c r="AF71" i="1"/>
  <c r="AC71" i="1"/>
  <c r="AB71" i="1"/>
  <c r="Z71" i="1"/>
  <c r="J71" i="1"/>
  <c r="AL71" i="1" s="1"/>
  <c r="I71" i="1"/>
  <c r="H71" i="1"/>
  <c r="BJ70" i="1"/>
  <c r="BF70" i="1"/>
  <c r="BD70" i="1"/>
  <c r="AP70" i="1"/>
  <c r="AO70" i="1"/>
  <c r="AK70" i="1"/>
  <c r="AJ70" i="1"/>
  <c r="AH70" i="1"/>
  <c r="AG70" i="1"/>
  <c r="AF70" i="1"/>
  <c r="AC70" i="1"/>
  <c r="AB70" i="1"/>
  <c r="Z70" i="1"/>
  <c r="J70" i="1"/>
  <c r="AL70" i="1" s="1"/>
  <c r="I70" i="1"/>
  <c r="H70" i="1"/>
  <c r="BJ69" i="1"/>
  <c r="BF69" i="1"/>
  <c r="BD69" i="1"/>
  <c r="AP69" i="1"/>
  <c r="AO69" i="1"/>
  <c r="AK69" i="1"/>
  <c r="AJ69" i="1"/>
  <c r="AH69" i="1"/>
  <c r="AG69" i="1"/>
  <c r="AF69" i="1"/>
  <c r="AC69" i="1"/>
  <c r="AB69" i="1"/>
  <c r="Z69" i="1"/>
  <c r="J69" i="1"/>
  <c r="AL69" i="1" s="1"/>
  <c r="I69" i="1"/>
  <c r="H69" i="1"/>
  <c r="BJ68" i="1"/>
  <c r="BF68" i="1"/>
  <c r="BD68" i="1"/>
  <c r="AP68" i="1"/>
  <c r="AO68" i="1"/>
  <c r="AK68" i="1"/>
  <c r="AJ68" i="1"/>
  <c r="AH68" i="1"/>
  <c r="AG68" i="1"/>
  <c r="AF68" i="1"/>
  <c r="AC68" i="1"/>
  <c r="AB68" i="1"/>
  <c r="Z68" i="1"/>
  <c r="J68" i="1"/>
  <c r="AL68" i="1" s="1"/>
  <c r="I68" i="1"/>
  <c r="H68" i="1"/>
  <c r="BJ67" i="1"/>
  <c r="BF67" i="1"/>
  <c r="BD67" i="1"/>
  <c r="AP67" i="1"/>
  <c r="AO67" i="1"/>
  <c r="AK67" i="1"/>
  <c r="AJ67" i="1"/>
  <c r="AH67" i="1"/>
  <c r="AG67" i="1"/>
  <c r="AF67" i="1"/>
  <c r="AC67" i="1"/>
  <c r="AB67" i="1"/>
  <c r="Z67" i="1"/>
  <c r="J67" i="1"/>
  <c r="AL67" i="1" s="1"/>
  <c r="I67" i="1"/>
  <c r="H67" i="1"/>
  <c r="BJ66" i="1"/>
  <c r="BF66" i="1"/>
  <c r="BD66" i="1"/>
  <c r="AP66" i="1"/>
  <c r="AO66" i="1"/>
  <c r="AK66" i="1"/>
  <c r="AJ66" i="1"/>
  <c r="AH66" i="1"/>
  <c r="AG66" i="1"/>
  <c r="AF66" i="1"/>
  <c r="AC66" i="1"/>
  <c r="AB66" i="1"/>
  <c r="Z66" i="1"/>
  <c r="J66" i="1"/>
  <c r="AL66" i="1" s="1"/>
  <c r="I66" i="1"/>
  <c r="H66" i="1"/>
  <c r="BJ65" i="1"/>
  <c r="BF65" i="1"/>
  <c r="BD65" i="1"/>
  <c r="AP65" i="1"/>
  <c r="AO65" i="1"/>
  <c r="AK65" i="1"/>
  <c r="AJ65" i="1"/>
  <c r="AH65" i="1"/>
  <c r="AG65" i="1"/>
  <c r="AF65" i="1"/>
  <c r="AC65" i="1"/>
  <c r="AB65" i="1"/>
  <c r="Z65" i="1"/>
  <c r="J65" i="1"/>
  <c r="AL65" i="1" s="1"/>
  <c r="I65" i="1"/>
  <c r="H65" i="1"/>
  <c r="BJ64" i="1"/>
  <c r="BF64" i="1"/>
  <c r="BD64" i="1"/>
  <c r="AP64" i="1"/>
  <c r="AO64" i="1"/>
  <c r="AK64" i="1"/>
  <c r="AJ64" i="1"/>
  <c r="AH64" i="1"/>
  <c r="AG64" i="1"/>
  <c r="AF64" i="1"/>
  <c r="AC64" i="1"/>
  <c r="AB64" i="1"/>
  <c r="Z64" i="1"/>
  <c r="J64" i="1"/>
  <c r="AL64" i="1" s="1"/>
  <c r="I64" i="1"/>
  <c r="H64" i="1"/>
  <c r="BJ63" i="1"/>
  <c r="BF63" i="1"/>
  <c r="BD63" i="1"/>
  <c r="AP63" i="1"/>
  <c r="AO63" i="1"/>
  <c r="AK63" i="1"/>
  <c r="AJ63" i="1"/>
  <c r="AH63" i="1"/>
  <c r="AG63" i="1"/>
  <c r="AF63" i="1"/>
  <c r="AC63" i="1"/>
  <c r="AB63" i="1"/>
  <c r="Z63" i="1"/>
  <c r="J63" i="1"/>
  <c r="AL63" i="1" s="1"/>
  <c r="I63" i="1"/>
  <c r="H63" i="1"/>
  <c r="BJ62" i="1"/>
  <c r="BF62" i="1"/>
  <c r="BD62" i="1"/>
  <c r="AP62" i="1"/>
  <c r="AO62" i="1"/>
  <c r="AK62" i="1"/>
  <c r="AJ62" i="1"/>
  <c r="AH62" i="1"/>
  <c r="AG62" i="1"/>
  <c r="AF62" i="1"/>
  <c r="AC62" i="1"/>
  <c r="AB62" i="1"/>
  <c r="Z62" i="1"/>
  <c r="J62" i="1"/>
  <c r="AL62" i="1" s="1"/>
  <c r="I62" i="1"/>
  <c r="H62" i="1"/>
  <c r="BJ61" i="1"/>
  <c r="BF61" i="1"/>
  <c r="BD61" i="1"/>
  <c r="AP61" i="1"/>
  <c r="AO61" i="1"/>
  <c r="AK61" i="1"/>
  <c r="AJ61" i="1"/>
  <c r="AH61" i="1"/>
  <c r="AG61" i="1"/>
  <c r="AF61" i="1"/>
  <c r="AC61" i="1"/>
  <c r="AB61" i="1"/>
  <c r="Z61" i="1"/>
  <c r="J61" i="1"/>
  <c r="AL61" i="1" s="1"/>
  <c r="I61" i="1"/>
  <c r="H61" i="1"/>
  <c r="BJ60" i="1"/>
  <c r="BF60" i="1"/>
  <c r="BD60" i="1"/>
  <c r="AP60" i="1"/>
  <c r="AO60" i="1"/>
  <c r="AK60" i="1"/>
  <c r="AJ60" i="1"/>
  <c r="AH60" i="1"/>
  <c r="AG60" i="1"/>
  <c r="AF60" i="1"/>
  <c r="AC60" i="1"/>
  <c r="AB60" i="1"/>
  <c r="Z60" i="1"/>
  <c r="J60" i="1"/>
  <c r="AL60" i="1" s="1"/>
  <c r="I60" i="1"/>
  <c r="H60" i="1"/>
  <c r="BJ59" i="1"/>
  <c r="BF59" i="1"/>
  <c r="BD59" i="1"/>
  <c r="AP59" i="1"/>
  <c r="AO59" i="1"/>
  <c r="AK59" i="1"/>
  <c r="AJ59" i="1"/>
  <c r="AH59" i="1"/>
  <c r="AG59" i="1"/>
  <c r="AF59" i="1"/>
  <c r="AC59" i="1"/>
  <c r="AB59" i="1"/>
  <c r="Z59" i="1"/>
  <c r="J59" i="1"/>
  <c r="AL59" i="1" s="1"/>
  <c r="I59" i="1"/>
  <c r="H59" i="1"/>
  <c r="BJ58" i="1"/>
  <c r="BF58" i="1"/>
  <c r="BD58" i="1"/>
  <c r="AP58" i="1"/>
  <c r="AO58" i="1"/>
  <c r="AK58" i="1"/>
  <c r="AJ58" i="1"/>
  <c r="AH58" i="1"/>
  <c r="AG58" i="1"/>
  <c r="AF58" i="1"/>
  <c r="AC58" i="1"/>
  <c r="AB58" i="1"/>
  <c r="Z58" i="1"/>
  <c r="J58" i="1"/>
  <c r="AL58" i="1" s="1"/>
  <c r="I58" i="1"/>
  <c r="H58" i="1"/>
  <c r="BJ57" i="1"/>
  <c r="BF57" i="1"/>
  <c r="BD57" i="1"/>
  <c r="AP57" i="1"/>
  <c r="AO57" i="1"/>
  <c r="AK57" i="1"/>
  <c r="AJ57" i="1"/>
  <c r="AH57" i="1"/>
  <c r="AG57" i="1"/>
  <c r="AF57" i="1"/>
  <c r="AC57" i="1"/>
  <c r="AB57" i="1"/>
  <c r="Z57" i="1"/>
  <c r="J57" i="1"/>
  <c r="AL57" i="1" s="1"/>
  <c r="I57" i="1"/>
  <c r="H57" i="1"/>
  <c r="BJ56" i="1"/>
  <c r="BF56" i="1"/>
  <c r="BD56" i="1"/>
  <c r="AP56" i="1"/>
  <c r="AO56" i="1"/>
  <c r="AK56" i="1"/>
  <c r="AJ56" i="1"/>
  <c r="AH56" i="1"/>
  <c r="AG56" i="1"/>
  <c r="AF56" i="1"/>
  <c r="AC56" i="1"/>
  <c r="AB56" i="1"/>
  <c r="Z56" i="1"/>
  <c r="J56" i="1"/>
  <c r="AL56" i="1" s="1"/>
  <c r="I56" i="1"/>
  <c r="H56" i="1"/>
  <c r="BJ55" i="1"/>
  <c r="BF55" i="1"/>
  <c r="BD55" i="1"/>
  <c r="AP55" i="1"/>
  <c r="AO55" i="1"/>
  <c r="AK55" i="1"/>
  <c r="AJ55" i="1"/>
  <c r="AH55" i="1"/>
  <c r="AG55" i="1"/>
  <c r="AF55" i="1"/>
  <c r="AC55" i="1"/>
  <c r="AB55" i="1"/>
  <c r="Z55" i="1"/>
  <c r="J55" i="1"/>
  <c r="AL55" i="1" s="1"/>
  <c r="I55" i="1"/>
  <c r="H55" i="1"/>
  <c r="BJ54" i="1"/>
  <c r="BF54" i="1"/>
  <c r="BD54" i="1"/>
  <c r="AP54" i="1"/>
  <c r="AO54" i="1"/>
  <c r="AK54" i="1"/>
  <c r="AJ54" i="1"/>
  <c r="AH54" i="1"/>
  <c r="AG54" i="1"/>
  <c r="AF54" i="1"/>
  <c r="AC54" i="1"/>
  <c r="AB54" i="1"/>
  <c r="Z54" i="1"/>
  <c r="J54" i="1"/>
  <c r="AL54" i="1" s="1"/>
  <c r="I54" i="1"/>
  <c r="H54" i="1"/>
  <c r="BJ53" i="1"/>
  <c r="BF53" i="1"/>
  <c r="BD53" i="1"/>
  <c r="AP53" i="1"/>
  <c r="AO53" i="1"/>
  <c r="AK53" i="1"/>
  <c r="AJ53" i="1"/>
  <c r="AH53" i="1"/>
  <c r="AG53" i="1"/>
  <c r="AF53" i="1"/>
  <c r="AC53" i="1"/>
  <c r="AB53" i="1"/>
  <c r="Z53" i="1"/>
  <c r="J53" i="1"/>
  <c r="AL53" i="1" s="1"/>
  <c r="I53" i="1"/>
  <c r="H53" i="1"/>
  <c r="BJ52" i="1"/>
  <c r="BF52" i="1"/>
  <c r="BD52" i="1"/>
  <c r="AP52" i="1"/>
  <c r="AO52" i="1"/>
  <c r="AK52" i="1"/>
  <c r="AJ52" i="1"/>
  <c r="AH52" i="1"/>
  <c r="AE52" i="1"/>
  <c r="AD52" i="1"/>
  <c r="AC52" i="1"/>
  <c r="AB52" i="1"/>
  <c r="Z52" i="1"/>
  <c r="J52" i="1"/>
  <c r="AL52" i="1" s="1"/>
  <c r="I52" i="1"/>
  <c r="H52" i="1"/>
  <c r="BJ51" i="1"/>
  <c r="BF51" i="1"/>
  <c r="BD51" i="1"/>
  <c r="AP51" i="1"/>
  <c r="AO51" i="1"/>
  <c r="AK51" i="1"/>
  <c r="AJ51" i="1"/>
  <c r="AH51" i="1"/>
  <c r="AG51" i="1"/>
  <c r="AF51" i="1"/>
  <c r="AC51" i="1"/>
  <c r="AB51" i="1"/>
  <c r="Z51" i="1"/>
  <c r="J51" i="1"/>
  <c r="AL51" i="1" s="1"/>
  <c r="I51" i="1"/>
  <c r="H51" i="1"/>
  <c r="AU50" i="1"/>
  <c r="AT50" i="1"/>
  <c r="AS50" i="1"/>
  <c r="J50" i="1"/>
  <c r="I50" i="1"/>
  <c r="H50" i="1"/>
  <c r="BJ49" i="1"/>
  <c r="BF49" i="1"/>
  <c r="BD49" i="1"/>
  <c r="AP49" i="1"/>
  <c r="AO49" i="1"/>
  <c r="AK49" i="1"/>
  <c r="AJ49" i="1"/>
  <c r="AH49" i="1"/>
  <c r="AG49" i="1"/>
  <c r="AF49" i="1"/>
  <c r="AE49" i="1"/>
  <c r="AD49" i="1"/>
  <c r="AC49" i="1"/>
  <c r="AB49" i="1"/>
  <c r="Z49" i="1"/>
  <c r="J49" i="1"/>
  <c r="AL49" i="1" s="1"/>
  <c r="I49" i="1"/>
  <c r="H49" i="1"/>
  <c r="BJ48" i="1"/>
  <c r="BF48" i="1"/>
  <c r="BD48" i="1"/>
  <c r="AP48" i="1"/>
  <c r="AO48" i="1"/>
  <c r="AK48" i="1"/>
  <c r="AJ48" i="1"/>
  <c r="AH48" i="1"/>
  <c r="AG48" i="1"/>
  <c r="AF48" i="1"/>
  <c r="AE48" i="1"/>
  <c r="AD48" i="1"/>
  <c r="AC48" i="1"/>
  <c r="AB48" i="1"/>
  <c r="Z48" i="1"/>
  <c r="J48" i="1"/>
  <c r="AL48" i="1" s="1"/>
  <c r="I48" i="1"/>
  <c r="H48" i="1"/>
  <c r="BJ47" i="1"/>
  <c r="BF47" i="1"/>
  <c r="BD47" i="1"/>
  <c r="AP47" i="1"/>
  <c r="AO47" i="1"/>
  <c r="AK47" i="1"/>
  <c r="AJ47" i="1"/>
  <c r="AH47" i="1"/>
  <c r="AG47" i="1"/>
  <c r="AF47" i="1"/>
  <c r="AC47" i="1"/>
  <c r="AB47" i="1"/>
  <c r="Z47" i="1"/>
  <c r="J47" i="1"/>
  <c r="AL47" i="1" s="1"/>
  <c r="I47" i="1"/>
  <c r="H47" i="1"/>
  <c r="BJ46" i="1"/>
  <c r="BF46" i="1"/>
  <c r="BD46" i="1"/>
  <c r="AP46" i="1"/>
  <c r="AO46" i="1"/>
  <c r="AK46" i="1"/>
  <c r="AJ46" i="1"/>
  <c r="AH46" i="1"/>
  <c r="AG46" i="1"/>
  <c r="AF46" i="1"/>
  <c r="AC46" i="1"/>
  <c r="AB46" i="1"/>
  <c r="Z46" i="1"/>
  <c r="J46" i="1"/>
  <c r="AL46" i="1" s="1"/>
  <c r="I46" i="1"/>
  <c r="H46" i="1"/>
  <c r="BJ45" i="1"/>
  <c r="BF45" i="1"/>
  <c r="BD45" i="1"/>
  <c r="AP45" i="1"/>
  <c r="AO45" i="1"/>
  <c r="AK45" i="1"/>
  <c r="AJ45" i="1"/>
  <c r="AH45" i="1"/>
  <c r="AG45" i="1"/>
  <c r="AF45" i="1"/>
  <c r="AC45" i="1"/>
  <c r="AB45" i="1"/>
  <c r="Z45" i="1"/>
  <c r="J45" i="1"/>
  <c r="AL45" i="1" s="1"/>
  <c r="I45" i="1"/>
  <c r="H45" i="1"/>
  <c r="BJ44" i="1"/>
  <c r="BF44" i="1"/>
  <c r="BD44" i="1"/>
  <c r="AP44" i="1"/>
  <c r="AO44" i="1"/>
  <c r="AK44" i="1"/>
  <c r="AJ44" i="1"/>
  <c r="AH44" i="1"/>
  <c r="AG44" i="1"/>
  <c r="AF44" i="1"/>
  <c r="AC44" i="1"/>
  <c r="AB44" i="1"/>
  <c r="Z44" i="1"/>
  <c r="J44" i="1"/>
  <c r="AL44" i="1" s="1"/>
  <c r="I44" i="1"/>
  <c r="H44" i="1"/>
  <c r="BJ43" i="1"/>
  <c r="BF43" i="1"/>
  <c r="BD43" i="1"/>
  <c r="AP43" i="1"/>
  <c r="AO43" i="1"/>
  <c r="AK43" i="1"/>
  <c r="AJ43" i="1"/>
  <c r="AH43" i="1"/>
  <c r="AG43" i="1"/>
  <c r="AF43" i="1"/>
  <c r="AC43" i="1"/>
  <c r="AB43" i="1"/>
  <c r="Z43" i="1"/>
  <c r="J43" i="1"/>
  <c r="AL43" i="1" s="1"/>
  <c r="I43" i="1"/>
  <c r="H43" i="1"/>
  <c r="AU42" i="1"/>
  <c r="AT42" i="1"/>
  <c r="AS42" i="1"/>
  <c r="J42" i="1"/>
  <c r="I42" i="1"/>
  <c r="H42" i="1"/>
  <c r="BJ41" i="1"/>
  <c r="BF41" i="1"/>
  <c r="BD41" i="1"/>
  <c r="AP41" i="1"/>
  <c r="AO41" i="1"/>
  <c r="AK41" i="1"/>
  <c r="AJ41" i="1"/>
  <c r="AH41" i="1"/>
  <c r="AG41" i="1"/>
  <c r="AF41" i="1"/>
  <c r="AE41" i="1"/>
  <c r="AD41" i="1"/>
  <c r="AC41" i="1"/>
  <c r="AB41" i="1"/>
  <c r="Z41" i="1"/>
  <c r="J41" i="1"/>
  <c r="AL41" i="1" s="1"/>
  <c r="I41" i="1"/>
  <c r="H41" i="1"/>
  <c r="BJ40" i="1"/>
  <c r="BF40" i="1"/>
  <c r="BD40" i="1"/>
  <c r="AP40" i="1"/>
  <c r="AO40" i="1"/>
  <c r="AK40" i="1"/>
  <c r="AJ40" i="1"/>
  <c r="AH40" i="1"/>
  <c r="AG40" i="1"/>
  <c r="AF40" i="1"/>
  <c r="AE40" i="1"/>
  <c r="AD40" i="1"/>
  <c r="AC40" i="1"/>
  <c r="AB40" i="1"/>
  <c r="Z40" i="1"/>
  <c r="J40" i="1"/>
  <c r="AL40" i="1" s="1"/>
  <c r="I40" i="1"/>
  <c r="H40" i="1"/>
  <c r="BJ39" i="1"/>
  <c r="BF39" i="1"/>
  <c r="BD39" i="1"/>
  <c r="AP39" i="1"/>
  <c r="AO39" i="1"/>
  <c r="AK39" i="1"/>
  <c r="AJ39" i="1"/>
  <c r="AH39" i="1"/>
  <c r="AG39" i="1"/>
  <c r="AF39" i="1"/>
  <c r="AC39" i="1"/>
  <c r="AB39" i="1"/>
  <c r="Z39" i="1"/>
  <c r="J39" i="1"/>
  <c r="AL39" i="1" s="1"/>
  <c r="I39" i="1"/>
  <c r="H39" i="1"/>
  <c r="BJ38" i="1"/>
  <c r="BF38" i="1"/>
  <c r="BD38" i="1"/>
  <c r="AP38" i="1"/>
  <c r="AO38" i="1"/>
  <c r="AK38" i="1"/>
  <c r="AJ38" i="1"/>
  <c r="AH38" i="1"/>
  <c r="AG38" i="1"/>
  <c r="AF38" i="1"/>
  <c r="AC38" i="1"/>
  <c r="AB38" i="1"/>
  <c r="Z38" i="1"/>
  <c r="J38" i="1"/>
  <c r="AL38" i="1" s="1"/>
  <c r="I38" i="1"/>
  <c r="H38" i="1"/>
  <c r="BJ37" i="1"/>
  <c r="BF37" i="1"/>
  <c r="BD37" i="1"/>
  <c r="AP37" i="1"/>
  <c r="AO37" i="1"/>
  <c r="AK37" i="1"/>
  <c r="AJ37" i="1"/>
  <c r="AH37" i="1"/>
  <c r="AG37" i="1"/>
  <c r="AF37" i="1"/>
  <c r="AC37" i="1"/>
  <c r="AB37" i="1"/>
  <c r="Z37" i="1"/>
  <c r="J37" i="1"/>
  <c r="AL37" i="1" s="1"/>
  <c r="I37" i="1"/>
  <c r="H37" i="1"/>
  <c r="BJ36" i="1"/>
  <c r="BF36" i="1"/>
  <c r="BD36" i="1"/>
  <c r="AP36" i="1"/>
  <c r="AO36" i="1"/>
  <c r="AK36" i="1"/>
  <c r="AJ36" i="1"/>
  <c r="AH36" i="1"/>
  <c r="AG36" i="1"/>
  <c r="AF36" i="1"/>
  <c r="AC36" i="1"/>
  <c r="AB36" i="1"/>
  <c r="Z36" i="1"/>
  <c r="J36" i="1"/>
  <c r="AL36" i="1" s="1"/>
  <c r="I36" i="1"/>
  <c r="H36" i="1"/>
  <c r="AU35" i="1"/>
  <c r="AT35" i="1"/>
  <c r="AS35" i="1"/>
  <c r="J35" i="1"/>
  <c r="I35" i="1"/>
  <c r="H35" i="1"/>
  <c r="BJ34" i="1"/>
  <c r="BF34" i="1"/>
  <c r="BD34" i="1"/>
  <c r="AP34" i="1"/>
  <c r="AO34" i="1"/>
  <c r="AK34" i="1"/>
  <c r="AJ34" i="1"/>
  <c r="AH34" i="1"/>
  <c r="AG34" i="1"/>
  <c r="AF34" i="1"/>
  <c r="AE34" i="1"/>
  <c r="AD34" i="1"/>
  <c r="AC34" i="1"/>
  <c r="AB34" i="1"/>
  <c r="Z34" i="1"/>
  <c r="J34" i="1"/>
  <c r="AL34" i="1" s="1"/>
  <c r="I34" i="1"/>
  <c r="H34" i="1"/>
  <c r="BJ33" i="1"/>
  <c r="BF33" i="1"/>
  <c r="BD33" i="1"/>
  <c r="AP33" i="1"/>
  <c r="AO33" i="1"/>
  <c r="AK33" i="1"/>
  <c r="AJ33" i="1"/>
  <c r="AH33" i="1"/>
  <c r="AG33" i="1"/>
  <c r="AF33" i="1"/>
  <c r="AE33" i="1"/>
  <c r="AD33" i="1"/>
  <c r="AC33" i="1"/>
  <c r="AB33" i="1"/>
  <c r="Z33" i="1"/>
  <c r="J33" i="1"/>
  <c r="AL33" i="1" s="1"/>
  <c r="I33" i="1"/>
  <c r="H33" i="1"/>
  <c r="BJ32" i="1"/>
  <c r="BF32" i="1"/>
  <c r="BD32" i="1"/>
  <c r="AP32" i="1"/>
  <c r="AO32" i="1"/>
  <c r="AK32" i="1"/>
  <c r="AJ32" i="1"/>
  <c r="AH32" i="1"/>
  <c r="AG32" i="1"/>
  <c r="AF32" i="1"/>
  <c r="AC32" i="1"/>
  <c r="AB32" i="1"/>
  <c r="Z32" i="1"/>
  <c r="J32" i="1"/>
  <c r="AL32" i="1" s="1"/>
  <c r="I32" i="1"/>
  <c r="H32" i="1"/>
  <c r="BJ31" i="1"/>
  <c r="BF31" i="1"/>
  <c r="BD31" i="1"/>
  <c r="AP31" i="1"/>
  <c r="AO31" i="1"/>
  <c r="AK31" i="1"/>
  <c r="AJ31" i="1"/>
  <c r="AH31" i="1"/>
  <c r="AG31" i="1"/>
  <c r="AF31" i="1"/>
  <c r="AC31" i="1"/>
  <c r="AB31" i="1"/>
  <c r="Z31" i="1"/>
  <c r="J31" i="1"/>
  <c r="AL31" i="1" s="1"/>
  <c r="I31" i="1"/>
  <c r="H31" i="1"/>
  <c r="BJ30" i="1"/>
  <c r="BF30" i="1"/>
  <c r="BD30" i="1"/>
  <c r="AP30" i="1"/>
  <c r="AO30" i="1"/>
  <c r="AK30" i="1"/>
  <c r="AJ30" i="1"/>
  <c r="AH30" i="1"/>
  <c r="AG30" i="1"/>
  <c r="AF30" i="1"/>
  <c r="AC30" i="1"/>
  <c r="AB30" i="1"/>
  <c r="Z30" i="1"/>
  <c r="J30" i="1"/>
  <c r="AL30" i="1" s="1"/>
  <c r="I30" i="1"/>
  <c r="H30" i="1"/>
  <c r="BJ29" i="1"/>
  <c r="BF29" i="1"/>
  <c r="BD29" i="1"/>
  <c r="AP29" i="1"/>
  <c r="AO29" i="1"/>
  <c r="AK29" i="1"/>
  <c r="AJ29" i="1"/>
  <c r="AH29" i="1"/>
  <c r="AG29" i="1"/>
  <c r="AF29" i="1"/>
  <c r="AC29" i="1"/>
  <c r="AB29" i="1"/>
  <c r="Z29" i="1"/>
  <c r="J29" i="1"/>
  <c r="AL29" i="1" s="1"/>
  <c r="I29" i="1"/>
  <c r="H29" i="1"/>
  <c r="AU28" i="1"/>
  <c r="AT28" i="1"/>
  <c r="AS28" i="1"/>
  <c r="J28" i="1"/>
  <c r="I28" i="1"/>
  <c r="H28" i="1"/>
  <c r="BJ27" i="1"/>
  <c r="BF27" i="1"/>
  <c r="BD27" i="1"/>
  <c r="AP27" i="1"/>
  <c r="AO27" i="1"/>
  <c r="AK27" i="1"/>
  <c r="AJ27" i="1"/>
  <c r="AH27" i="1"/>
  <c r="AG27" i="1"/>
  <c r="AF27" i="1"/>
  <c r="AE27" i="1"/>
  <c r="AD27" i="1"/>
  <c r="Z27" i="1"/>
  <c r="J27" i="1"/>
  <c r="AL27" i="1" s="1"/>
  <c r="I27" i="1"/>
  <c r="H27" i="1"/>
  <c r="BJ26" i="1"/>
  <c r="BF26" i="1"/>
  <c r="BD26" i="1"/>
  <c r="AP26" i="1"/>
  <c r="AO26" i="1"/>
  <c r="AK26" i="1"/>
  <c r="AJ26" i="1"/>
  <c r="AH26" i="1"/>
  <c r="AG26" i="1"/>
  <c r="AF26" i="1"/>
  <c r="AE26" i="1"/>
  <c r="AD26" i="1"/>
  <c r="Z26" i="1"/>
  <c r="J26" i="1"/>
  <c r="AL26" i="1" s="1"/>
  <c r="I26" i="1"/>
  <c r="H26" i="1"/>
  <c r="BJ25" i="1"/>
  <c r="BF25" i="1"/>
  <c r="BD25" i="1"/>
  <c r="AP25" i="1"/>
  <c r="AO25" i="1"/>
  <c r="AK25" i="1"/>
  <c r="AJ25" i="1"/>
  <c r="AH25" i="1"/>
  <c r="AG25" i="1"/>
  <c r="AF25" i="1"/>
  <c r="AE25" i="1"/>
  <c r="AD25" i="1"/>
  <c r="Z25" i="1"/>
  <c r="J25" i="1"/>
  <c r="AL25" i="1" s="1"/>
  <c r="I25" i="1"/>
  <c r="H25" i="1"/>
  <c r="BJ24" i="1"/>
  <c r="BF24" i="1"/>
  <c r="BD24" i="1"/>
  <c r="AP24" i="1"/>
  <c r="AO24" i="1"/>
  <c r="AK24" i="1"/>
  <c r="AJ24" i="1"/>
  <c r="AH24" i="1"/>
  <c r="AG24" i="1"/>
  <c r="AF24" i="1"/>
  <c r="AE24" i="1"/>
  <c r="AD24" i="1"/>
  <c r="Z24" i="1"/>
  <c r="J24" i="1"/>
  <c r="AL24" i="1" s="1"/>
  <c r="I24" i="1"/>
  <c r="H24" i="1"/>
  <c r="BJ23" i="1"/>
  <c r="BF23" i="1"/>
  <c r="BD23" i="1"/>
  <c r="AP23" i="1"/>
  <c r="AO23" i="1"/>
  <c r="AK23" i="1"/>
  <c r="AJ23" i="1"/>
  <c r="AH23" i="1"/>
  <c r="AG23" i="1"/>
  <c r="AF23" i="1"/>
  <c r="AE23" i="1"/>
  <c r="AD23" i="1"/>
  <c r="Z23" i="1"/>
  <c r="J23" i="1"/>
  <c r="AL23" i="1" s="1"/>
  <c r="I23" i="1"/>
  <c r="H23" i="1"/>
  <c r="BJ22" i="1"/>
  <c r="BF22" i="1"/>
  <c r="BD22" i="1"/>
  <c r="AP22" i="1"/>
  <c r="AO22" i="1"/>
  <c r="AK22" i="1"/>
  <c r="AJ22" i="1"/>
  <c r="AH22" i="1"/>
  <c r="AG22" i="1"/>
  <c r="AF22" i="1"/>
  <c r="AE22" i="1"/>
  <c r="AD22" i="1"/>
  <c r="Z22" i="1"/>
  <c r="J22" i="1"/>
  <c r="AL22" i="1" s="1"/>
  <c r="I22" i="1"/>
  <c r="H22" i="1"/>
  <c r="BJ21" i="1"/>
  <c r="BF21" i="1"/>
  <c r="BD21" i="1"/>
  <c r="AP21" i="1"/>
  <c r="AO21" i="1"/>
  <c r="AK21" i="1"/>
  <c r="AJ21" i="1"/>
  <c r="AH21" i="1"/>
  <c r="AG21" i="1"/>
  <c r="AF21" i="1"/>
  <c r="AE21" i="1"/>
  <c r="AD21" i="1"/>
  <c r="Z21" i="1"/>
  <c r="J21" i="1"/>
  <c r="AL21" i="1" s="1"/>
  <c r="I21" i="1"/>
  <c r="H21" i="1"/>
  <c r="BJ20" i="1"/>
  <c r="BF20" i="1"/>
  <c r="BD20" i="1"/>
  <c r="AP20" i="1"/>
  <c r="AO20" i="1"/>
  <c r="AK20" i="1"/>
  <c r="AJ20" i="1"/>
  <c r="AH20" i="1"/>
  <c r="AG20" i="1"/>
  <c r="AF20" i="1"/>
  <c r="AE20" i="1"/>
  <c r="AD20" i="1"/>
  <c r="Z20" i="1"/>
  <c r="J20" i="1"/>
  <c r="AL20" i="1" s="1"/>
  <c r="I20" i="1"/>
  <c r="H20" i="1"/>
  <c r="BJ19" i="1"/>
  <c r="BF19" i="1"/>
  <c r="BD19" i="1"/>
  <c r="AP19" i="1"/>
  <c r="AO19" i="1"/>
  <c r="AK19" i="1"/>
  <c r="AJ19" i="1"/>
  <c r="AH19" i="1"/>
  <c r="AG19" i="1"/>
  <c r="AF19" i="1"/>
  <c r="AE19" i="1"/>
  <c r="AD19" i="1"/>
  <c r="Z19" i="1"/>
  <c r="J19" i="1"/>
  <c r="AL19" i="1" s="1"/>
  <c r="I19" i="1"/>
  <c r="H19" i="1"/>
  <c r="BJ18" i="1"/>
  <c r="BF18" i="1"/>
  <c r="BD18" i="1"/>
  <c r="AP18" i="1"/>
  <c r="AO18" i="1"/>
  <c r="AK18" i="1"/>
  <c r="AJ18" i="1"/>
  <c r="AH18" i="1"/>
  <c r="AG18" i="1"/>
  <c r="AF18" i="1"/>
  <c r="AE18" i="1"/>
  <c r="AD18" i="1"/>
  <c r="Z18" i="1"/>
  <c r="J18" i="1"/>
  <c r="AL18" i="1" s="1"/>
  <c r="I18" i="1"/>
  <c r="H18" i="1"/>
  <c r="BJ17" i="1"/>
  <c r="BF17" i="1"/>
  <c r="BD17" i="1"/>
  <c r="AP17" i="1"/>
  <c r="AO17" i="1"/>
  <c r="AK17" i="1"/>
  <c r="AJ17" i="1"/>
  <c r="AH17" i="1"/>
  <c r="AG17" i="1"/>
  <c r="AF17" i="1"/>
  <c r="AE17" i="1"/>
  <c r="AD17" i="1"/>
  <c r="Z17" i="1"/>
  <c r="J17" i="1"/>
  <c r="AL17" i="1" s="1"/>
  <c r="I17" i="1"/>
  <c r="H17" i="1"/>
  <c r="BJ16" i="1"/>
  <c r="BF16" i="1"/>
  <c r="BD16" i="1"/>
  <c r="AP16" i="1"/>
  <c r="AO16" i="1"/>
  <c r="AK16" i="1"/>
  <c r="AJ16" i="1"/>
  <c r="AH16" i="1"/>
  <c r="AG16" i="1"/>
  <c r="AF16" i="1"/>
  <c r="AE16" i="1"/>
  <c r="AD16" i="1"/>
  <c r="Z16" i="1"/>
  <c r="J16" i="1"/>
  <c r="AL16" i="1" s="1"/>
  <c r="I16" i="1"/>
  <c r="H16" i="1"/>
  <c r="BJ15" i="1"/>
  <c r="BF15" i="1"/>
  <c r="BD15" i="1"/>
  <c r="AP15" i="1"/>
  <c r="AO15" i="1"/>
  <c r="AK15" i="1"/>
  <c r="AJ15" i="1"/>
  <c r="AH15" i="1"/>
  <c r="AG15" i="1"/>
  <c r="AF15" i="1"/>
  <c r="AE15" i="1"/>
  <c r="AD15" i="1"/>
  <c r="Z15" i="1"/>
  <c r="J15" i="1"/>
  <c r="AL15" i="1" s="1"/>
  <c r="I15" i="1"/>
  <c r="H15" i="1"/>
  <c r="BJ14" i="1"/>
  <c r="BF14" i="1"/>
  <c r="BD14" i="1"/>
  <c r="AP14" i="1"/>
  <c r="AO14" i="1"/>
  <c r="AK14" i="1"/>
  <c r="C28" i="2" s="1"/>
  <c r="F28" i="2" s="1"/>
  <c r="AJ14" i="1"/>
  <c r="C27" i="2" s="1"/>
  <c r="AH14" i="1"/>
  <c r="C20" i="2" s="1"/>
  <c r="AG14" i="1"/>
  <c r="AF14" i="1"/>
  <c r="AE14" i="1"/>
  <c r="AD14" i="1"/>
  <c r="Z14" i="1"/>
  <c r="C21" i="2" s="1"/>
  <c r="J14" i="1"/>
  <c r="AL14" i="1" s="1"/>
  <c r="C29" i="2" s="1"/>
  <c r="F29" i="2" s="1"/>
  <c r="I14" i="1"/>
  <c r="H14" i="1"/>
  <c r="AU13" i="1"/>
  <c r="AT13" i="1"/>
  <c r="AS13" i="1"/>
  <c r="J13" i="1"/>
  <c r="J231" i="1" s="1"/>
  <c r="I13" i="1"/>
  <c r="H13" i="1"/>
  <c r="J12" i="1"/>
  <c r="I12" i="1"/>
  <c r="H12" i="1"/>
  <c r="AU1" i="1"/>
  <c r="AT1" i="1"/>
  <c r="AS1" i="1"/>
  <c r="I28" i="2" l="1"/>
  <c r="I29" i="2"/>
  <c r="BH14" i="1"/>
  <c r="AB14" i="1" s="1"/>
  <c r="AW14" i="1"/>
  <c r="BI14" i="1"/>
  <c r="AC14" i="1" s="1"/>
  <c r="AX14" i="1"/>
  <c r="BH15" i="1"/>
  <c r="AB15" i="1" s="1"/>
  <c r="AW15" i="1"/>
  <c r="BI15" i="1"/>
  <c r="AC15" i="1" s="1"/>
  <c r="AX15" i="1"/>
  <c r="BH16" i="1"/>
  <c r="AB16" i="1" s="1"/>
  <c r="AW16" i="1"/>
  <c r="BI16" i="1"/>
  <c r="AC16" i="1" s="1"/>
  <c r="AX16" i="1"/>
  <c r="BH17" i="1"/>
  <c r="AB17" i="1" s="1"/>
  <c r="AW17" i="1"/>
  <c r="BI17" i="1"/>
  <c r="AC17" i="1" s="1"/>
  <c r="AX17" i="1"/>
  <c r="BH18" i="1"/>
  <c r="AB18" i="1" s="1"/>
  <c r="AW18" i="1"/>
  <c r="BI18" i="1"/>
  <c r="AC18" i="1" s="1"/>
  <c r="AX18" i="1"/>
  <c r="BH19" i="1"/>
  <c r="AB19" i="1" s="1"/>
  <c r="AW19" i="1"/>
  <c r="BI19" i="1"/>
  <c r="AC19" i="1" s="1"/>
  <c r="AX19" i="1"/>
  <c r="BH20" i="1"/>
  <c r="AB20" i="1" s="1"/>
  <c r="AW20" i="1"/>
  <c r="BI20" i="1"/>
  <c r="AC20" i="1" s="1"/>
  <c r="AX20" i="1"/>
  <c r="BH21" i="1"/>
  <c r="AB21" i="1" s="1"/>
  <c r="AW21" i="1"/>
  <c r="BI21" i="1"/>
  <c r="AC21" i="1" s="1"/>
  <c r="AX21" i="1"/>
  <c r="BH22" i="1"/>
  <c r="AB22" i="1" s="1"/>
  <c r="AW22" i="1"/>
  <c r="BI22" i="1"/>
  <c r="AC22" i="1" s="1"/>
  <c r="AX22" i="1"/>
  <c r="BH23" i="1"/>
  <c r="AB23" i="1" s="1"/>
  <c r="AW23" i="1"/>
  <c r="BI23" i="1"/>
  <c r="AC23" i="1" s="1"/>
  <c r="AX23" i="1"/>
  <c r="BH24" i="1"/>
  <c r="AB24" i="1" s="1"/>
  <c r="AW24" i="1"/>
  <c r="BI24" i="1"/>
  <c r="AC24" i="1" s="1"/>
  <c r="AX24" i="1"/>
  <c r="BH25" i="1"/>
  <c r="AB25" i="1" s="1"/>
  <c r="AW25" i="1"/>
  <c r="BI25" i="1"/>
  <c r="AC25" i="1" s="1"/>
  <c r="AX25" i="1"/>
  <c r="BH26" i="1"/>
  <c r="AB26" i="1" s="1"/>
  <c r="AW26" i="1"/>
  <c r="BI26" i="1"/>
  <c r="AC26" i="1" s="1"/>
  <c r="AX26" i="1"/>
  <c r="BH27" i="1"/>
  <c r="AB27" i="1" s="1"/>
  <c r="AW27" i="1"/>
  <c r="BI27" i="1"/>
  <c r="AC27" i="1" s="1"/>
  <c r="AX27" i="1"/>
  <c r="BH29" i="1"/>
  <c r="AD29" i="1" s="1"/>
  <c r="AW29" i="1"/>
  <c r="BI29" i="1"/>
  <c r="AE29" i="1" s="1"/>
  <c r="AX29" i="1"/>
  <c r="BH30" i="1"/>
  <c r="AD30" i="1" s="1"/>
  <c r="AW30" i="1"/>
  <c r="BI30" i="1"/>
  <c r="AE30" i="1" s="1"/>
  <c r="AX30" i="1"/>
  <c r="BH31" i="1"/>
  <c r="AD31" i="1" s="1"/>
  <c r="AW31" i="1"/>
  <c r="BI31" i="1"/>
  <c r="AE31" i="1" s="1"/>
  <c r="AX31" i="1"/>
  <c r="BH32" i="1"/>
  <c r="AD32" i="1" s="1"/>
  <c r="AW32" i="1"/>
  <c r="BI32" i="1"/>
  <c r="AE32" i="1" s="1"/>
  <c r="AX32" i="1"/>
  <c r="BH33" i="1"/>
  <c r="AW33" i="1"/>
  <c r="BI33" i="1"/>
  <c r="AX33" i="1"/>
  <c r="BH34" i="1"/>
  <c r="AW34" i="1"/>
  <c r="BI34" i="1"/>
  <c r="AX34" i="1"/>
  <c r="BH36" i="1"/>
  <c r="AD36" i="1" s="1"/>
  <c r="AW36" i="1"/>
  <c r="BI36" i="1"/>
  <c r="AE36" i="1" s="1"/>
  <c r="AX36" i="1"/>
  <c r="BH37" i="1"/>
  <c r="AD37" i="1" s="1"/>
  <c r="AW37" i="1"/>
  <c r="BI37" i="1"/>
  <c r="AE37" i="1" s="1"/>
  <c r="AX37" i="1"/>
  <c r="BH38" i="1"/>
  <c r="AD38" i="1" s="1"/>
  <c r="AW38" i="1"/>
  <c r="BI38" i="1"/>
  <c r="AE38" i="1" s="1"/>
  <c r="AX38" i="1"/>
  <c r="BH39" i="1"/>
  <c r="AD39" i="1" s="1"/>
  <c r="AW39" i="1"/>
  <c r="BI39" i="1"/>
  <c r="AE39" i="1" s="1"/>
  <c r="AX39" i="1"/>
  <c r="BH40" i="1"/>
  <c r="AW40" i="1"/>
  <c r="BI40" i="1"/>
  <c r="AX40" i="1"/>
  <c r="BH41" i="1"/>
  <c r="AW41" i="1"/>
  <c r="BI41" i="1"/>
  <c r="AX41" i="1"/>
  <c r="BH43" i="1"/>
  <c r="AD43" i="1" s="1"/>
  <c r="AW43" i="1"/>
  <c r="BI43" i="1"/>
  <c r="AE43" i="1" s="1"/>
  <c r="AX43" i="1"/>
  <c r="BH44" i="1"/>
  <c r="AD44" i="1" s="1"/>
  <c r="AW44" i="1"/>
  <c r="BI44" i="1"/>
  <c r="AE44" i="1" s="1"/>
  <c r="AX44" i="1"/>
  <c r="BH45" i="1"/>
  <c r="AD45" i="1" s="1"/>
  <c r="AW45" i="1"/>
  <c r="BI45" i="1"/>
  <c r="AE45" i="1" s="1"/>
  <c r="AX45" i="1"/>
  <c r="BH46" i="1"/>
  <c r="AD46" i="1" s="1"/>
  <c r="AW46" i="1"/>
  <c r="BI46" i="1"/>
  <c r="AE46" i="1" s="1"/>
  <c r="AX46" i="1"/>
  <c r="BH47" i="1"/>
  <c r="AD47" i="1" s="1"/>
  <c r="AW47" i="1"/>
  <c r="BI47" i="1"/>
  <c r="AE47" i="1" s="1"/>
  <c r="AX47" i="1"/>
  <c r="BH48" i="1"/>
  <c r="AW48" i="1"/>
  <c r="BI48" i="1"/>
  <c r="AX48" i="1"/>
  <c r="BH49" i="1"/>
  <c r="AW49" i="1"/>
  <c r="BI49" i="1"/>
  <c r="AX49" i="1"/>
  <c r="BH51" i="1"/>
  <c r="AD51" i="1" s="1"/>
  <c r="AW51" i="1"/>
  <c r="BI51" i="1"/>
  <c r="AE51" i="1" s="1"/>
  <c r="AX51" i="1"/>
  <c r="BH52" i="1"/>
  <c r="AF52" i="1" s="1"/>
  <c r="AW52" i="1"/>
  <c r="BI52" i="1"/>
  <c r="AG52" i="1" s="1"/>
  <c r="AX52" i="1"/>
  <c r="BH53" i="1"/>
  <c r="AD53" i="1" s="1"/>
  <c r="AW53" i="1"/>
  <c r="BI53" i="1"/>
  <c r="AE53" i="1" s="1"/>
  <c r="AX53" i="1"/>
  <c r="BH54" i="1"/>
  <c r="AD54" i="1" s="1"/>
  <c r="AW54" i="1"/>
  <c r="BI54" i="1"/>
  <c r="AE54" i="1" s="1"/>
  <c r="AX54" i="1"/>
  <c r="BH55" i="1"/>
  <c r="AD55" i="1" s="1"/>
  <c r="AW55" i="1"/>
  <c r="BI55" i="1"/>
  <c r="AE55" i="1" s="1"/>
  <c r="AX55" i="1"/>
  <c r="BH56" i="1"/>
  <c r="AD56" i="1" s="1"/>
  <c r="AW56" i="1"/>
  <c r="BI56" i="1"/>
  <c r="AE56" i="1" s="1"/>
  <c r="AX56" i="1"/>
  <c r="BH57" i="1"/>
  <c r="AD57" i="1" s="1"/>
  <c r="AW57" i="1"/>
  <c r="BI57" i="1"/>
  <c r="AE57" i="1" s="1"/>
  <c r="AX57" i="1"/>
  <c r="BH58" i="1"/>
  <c r="AD58" i="1" s="1"/>
  <c r="AW58" i="1"/>
  <c r="BI58" i="1"/>
  <c r="AE58" i="1" s="1"/>
  <c r="AX58" i="1"/>
  <c r="BH59" i="1"/>
  <c r="AD59" i="1" s="1"/>
  <c r="AW59" i="1"/>
  <c r="BI59" i="1"/>
  <c r="AE59" i="1" s="1"/>
  <c r="AX59" i="1"/>
  <c r="BH60" i="1"/>
  <c r="AD60" i="1" s="1"/>
  <c r="AW60" i="1"/>
  <c r="BI60" i="1"/>
  <c r="AE60" i="1" s="1"/>
  <c r="AX60" i="1"/>
  <c r="BH61" i="1"/>
  <c r="AD61" i="1" s="1"/>
  <c r="AW61" i="1"/>
  <c r="BI61" i="1"/>
  <c r="AE61" i="1" s="1"/>
  <c r="AX61" i="1"/>
  <c r="BH62" i="1"/>
  <c r="AD62" i="1" s="1"/>
  <c r="AW62" i="1"/>
  <c r="BI62" i="1"/>
  <c r="AE62" i="1" s="1"/>
  <c r="AX62" i="1"/>
  <c r="BH63" i="1"/>
  <c r="AD63" i="1" s="1"/>
  <c r="AW63" i="1"/>
  <c r="BI63" i="1"/>
  <c r="AE63" i="1" s="1"/>
  <c r="AX63" i="1"/>
  <c r="BH64" i="1"/>
  <c r="AD64" i="1" s="1"/>
  <c r="AW64" i="1"/>
  <c r="BI64" i="1"/>
  <c r="AE64" i="1" s="1"/>
  <c r="AX64" i="1"/>
  <c r="BH65" i="1"/>
  <c r="AD65" i="1" s="1"/>
  <c r="AW65" i="1"/>
  <c r="BI65" i="1"/>
  <c r="AE65" i="1" s="1"/>
  <c r="AX65" i="1"/>
  <c r="BH66" i="1"/>
  <c r="AD66" i="1" s="1"/>
  <c r="AW66" i="1"/>
  <c r="BI66" i="1"/>
  <c r="AE66" i="1" s="1"/>
  <c r="AX66" i="1"/>
  <c r="BH67" i="1"/>
  <c r="AD67" i="1" s="1"/>
  <c r="AW67" i="1"/>
  <c r="BI67" i="1"/>
  <c r="AE67" i="1" s="1"/>
  <c r="AX67" i="1"/>
  <c r="BH68" i="1"/>
  <c r="AD68" i="1" s="1"/>
  <c r="AW68" i="1"/>
  <c r="BI68" i="1"/>
  <c r="AE68" i="1" s="1"/>
  <c r="AX68" i="1"/>
  <c r="BH69" i="1"/>
  <c r="AD69" i="1" s="1"/>
  <c r="AW69" i="1"/>
  <c r="BI69" i="1"/>
  <c r="AE69" i="1" s="1"/>
  <c r="AX69" i="1"/>
  <c r="BH70" i="1"/>
  <c r="AD70" i="1" s="1"/>
  <c r="AW70" i="1"/>
  <c r="BI70" i="1"/>
  <c r="AE70" i="1" s="1"/>
  <c r="AX70" i="1"/>
  <c r="BH71" i="1"/>
  <c r="AD71" i="1" s="1"/>
  <c r="AW71" i="1"/>
  <c r="BI71" i="1"/>
  <c r="AE71" i="1" s="1"/>
  <c r="AX71" i="1"/>
  <c r="BH72" i="1"/>
  <c r="AW72" i="1"/>
  <c r="BI72" i="1"/>
  <c r="AX72" i="1"/>
  <c r="BH73" i="1"/>
  <c r="AW73" i="1"/>
  <c r="BI73" i="1"/>
  <c r="AX73" i="1"/>
  <c r="BH75" i="1"/>
  <c r="AD75" i="1" s="1"/>
  <c r="AW75" i="1"/>
  <c r="BI75" i="1"/>
  <c r="AE75" i="1" s="1"/>
  <c r="AX75" i="1"/>
  <c r="BH76" i="1"/>
  <c r="AD76" i="1" s="1"/>
  <c r="AW76" i="1"/>
  <c r="BI76" i="1"/>
  <c r="AE76" i="1" s="1"/>
  <c r="AX76" i="1"/>
  <c r="BH77" i="1"/>
  <c r="AD77" i="1" s="1"/>
  <c r="AW77" i="1"/>
  <c r="BI77" i="1"/>
  <c r="AE77" i="1" s="1"/>
  <c r="AX77" i="1"/>
  <c r="BH78" i="1"/>
  <c r="AD78" i="1" s="1"/>
  <c r="AW78" i="1"/>
  <c r="BI78" i="1"/>
  <c r="AE78" i="1" s="1"/>
  <c r="AX78" i="1"/>
  <c r="BH79" i="1"/>
  <c r="AD79" i="1" s="1"/>
  <c r="AW79" i="1"/>
  <c r="BI79" i="1"/>
  <c r="AE79" i="1" s="1"/>
  <c r="AX79" i="1"/>
  <c r="BH80" i="1"/>
  <c r="AD80" i="1" s="1"/>
  <c r="AW80" i="1"/>
  <c r="BI80" i="1"/>
  <c r="AE80" i="1" s="1"/>
  <c r="AX80" i="1"/>
  <c r="BH81" i="1"/>
  <c r="AD81" i="1" s="1"/>
  <c r="AW81" i="1"/>
  <c r="BI81" i="1"/>
  <c r="AE81" i="1" s="1"/>
  <c r="AX81" i="1"/>
  <c r="BH82" i="1"/>
  <c r="AD82" i="1" s="1"/>
  <c r="AW82" i="1"/>
  <c r="BI82" i="1"/>
  <c r="AE82" i="1" s="1"/>
  <c r="AX82" i="1"/>
  <c r="BH83" i="1"/>
  <c r="AD83" i="1" s="1"/>
  <c r="AW83" i="1"/>
  <c r="BI83" i="1"/>
  <c r="AE83" i="1" s="1"/>
  <c r="AX83" i="1"/>
  <c r="BH84" i="1"/>
  <c r="AD84" i="1" s="1"/>
  <c r="AW84" i="1"/>
  <c r="BI84" i="1"/>
  <c r="AE84" i="1" s="1"/>
  <c r="AX84" i="1"/>
  <c r="BH85" i="1"/>
  <c r="AD85" i="1" s="1"/>
  <c r="AW85" i="1"/>
  <c r="BI85" i="1"/>
  <c r="AE85" i="1" s="1"/>
  <c r="AX85" i="1"/>
  <c r="BH86" i="1"/>
  <c r="AD86" i="1" s="1"/>
  <c r="AW86" i="1"/>
  <c r="BI86" i="1"/>
  <c r="AE86" i="1" s="1"/>
  <c r="AX86" i="1"/>
  <c r="BH87" i="1"/>
  <c r="AD87" i="1" s="1"/>
  <c r="AW87" i="1"/>
  <c r="BI87" i="1"/>
  <c r="AE87" i="1" s="1"/>
  <c r="AX87" i="1"/>
  <c r="BH88" i="1"/>
  <c r="AD88" i="1" s="1"/>
  <c r="AW88" i="1"/>
  <c r="BI88" i="1"/>
  <c r="AE88" i="1" s="1"/>
  <c r="AX88" i="1"/>
  <c r="BH89" i="1"/>
  <c r="AD89" i="1" s="1"/>
  <c r="AW89" i="1"/>
  <c r="BI89" i="1"/>
  <c r="AE89" i="1" s="1"/>
  <c r="AX89" i="1"/>
  <c r="BH90" i="1"/>
  <c r="AD90" i="1" s="1"/>
  <c r="AW90" i="1"/>
  <c r="BI90" i="1"/>
  <c r="AE90" i="1" s="1"/>
  <c r="AX90" i="1"/>
  <c r="BH91" i="1"/>
  <c r="AD91" i="1" s="1"/>
  <c r="AW91" i="1"/>
  <c r="BI91" i="1"/>
  <c r="AE91" i="1" s="1"/>
  <c r="AX91" i="1"/>
  <c r="BH92" i="1"/>
  <c r="AD92" i="1" s="1"/>
  <c r="AW92" i="1"/>
  <c r="BI92" i="1"/>
  <c r="AE92" i="1" s="1"/>
  <c r="AX92" i="1"/>
  <c r="BH93" i="1"/>
  <c r="AW93" i="1"/>
  <c r="BI93" i="1"/>
  <c r="AX93" i="1"/>
  <c r="BH94" i="1"/>
  <c r="AW94" i="1"/>
  <c r="BI94" i="1"/>
  <c r="AX94" i="1"/>
  <c r="BH96" i="1"/>
  <c r="AD96" i="1" s="1"/>
  <c r="AW96" i="1"/>
  <c r="BI96" i="1"/>
  <c r="AE96" i="1" s="1"/>
  <c r="AX96" i="1"/>
  <c r="BH97" i="1"/>
  <c r="AD97" i="1" s="1"/>
  <c r="AW97" i="1"/>
  <c r="BI97" i="1"/>
  <c r="AE97" i="1" s="1"/>
  <c r="AX97" i="1"/>
  <c r="BH98" i="1"/>
  <c r="AD98" i="1" s="1"/>
  <c r="AW98" i="1"/>
  <c r="BI98" i="1"/>
  <c r="AE98" i="1" s="1"/>
  <c r="AX98" i="1"/>
  <c r="BH99" i="1"/>
  <c r="AD99" i="1" s="1"/>
  <c r="AW99" i="1"/>
  <c r="BI99" i="1"/>
  <c r="AE99" i="1" s="1"/>
  <c r="AX99" i="1"/>
  <c r="BH100" i="1"/>
  <c r="AD100" i="1" s="1"/>
  <c r="AW100" i="1"/>
  <c r="BI100" i="1"/>
  <c r="AE100" i="1" s="1"/>
  <c r="AX100" i="1"/>
  <c r="BH101" i="1"/>
  <c r="AD101" i="1" s="1"/>
  <c r="AW101" i="1"/>
  <c r="BI101" i="1"/>
  <c r="AE101" i="1" s="1"/>
  <c r="AX101" i="1"/>
  <c r="BH102" i="1"/>
  <c r="AF102" i="1" s="1"/>
  <c r="AW102" i="1"/>
  <c r="BI102" i="1"/>
  <c r="AG102" i="1" s="1"/>
  <c r="AX102" i="1"/>
  <c r="BH103" i="1"/>
  <c r="AD103" i="1" s="1"/>
  <c r="AW103" i="1"/>
  <c r="BI103" i="1"/>
  <c r="AE103" i="1" s="1"/>
  <c r="AX103" i="1"/>
  <c r="BH104" i="1"/>
  <c r="AW104" i="1"/>
  <c r="BI104" i="1"/>
  <c r="AX104" i="1"/>
  <c r="BH105" i="1"/>
  <c r="AW105" i="1"/>
  <c r="BI105" i="1"/>
  <c r="AX105" i="1"/>
  <c r="BH107" i="1"/>
  <c r="AD107" i="1" s="1"/>
  <c r="AW107" i="1"/>
  <c r="BI107" i="1"/>
  <c r="AE107" i="1" s="1"/>
  <c r="AX107" i="1"/>
  <c r="BH108" i="1"/>
  <c r="AD108" i="1" s="1"/>
  <c r="AW108" i="1"/>
  <c r="BI108" i="1"/>
  <c r="AE108" i="1" s="1"/>
  <c r="AX108" i="1"/>
  <c r="BH109" i="1"/>
  <c r="AD109" i="1" s="1"/>
  <c r="AW109" i="1"/>
  <c r="BI109" i="1"/>
  <c r="AE109" i="1" s="1"/>
  <c r="AX109" i="1"/>
  <c r="BH110" i="1"/>
  <c r="AD110" i="1" s="1"/>
  <c r="AW110" i="1"/>
  <c r="BI110" i="1"/>
  <c r="AE110" i="1" s="1"/>
  <c r="AX110" i="1"/>
  <c r="BH111" i="1"/>
  <c r="AD111" i="1" s="1"/>
  <c r="AW111" i="1"/>
  <c r="BI111" i="1"/>
  <c r="AE111" i="1" s="1"/>
  <c r="AX111" i="1"/>
  <c r="BH112" i="1"/>
  <c r="AD112" i="1" s="1"/>
  <c r="AW112" i="1"/>
  <c r="BI112" i="1"/>
  <c r="AE112" i="1" s="1"/>
  <c r="AX112" i="1"/>
  <c r="BH113" i="1"/>
  <c r="AD113" i="1" s="1"/>
  <c r="AW113" i="1"/>
  <c r="BI113" i="1"/>
  <c r="AE113" i="1" s="1"/>
  <c r="AX113" i="1"/>
  <c r="BH114" i="1"/>
  <c r="AD114" i="1" s="1"/>
  <c r="AW114" i="1"/>
  <c r="BI114" i="1"/>
  <c r="AE114" i="1" s="1"/>
  <c r="AX114" i="1"/>
  <c r="BH115" i="1"/>
  <c r="AD115" i="1" s="1"/>
  <c r="AW115" i="1"/>
  <c r="BI115" i="1"/>
  <c r="AE115" i="1" s="1"/>
  <c r="AX115" i="1"/>
  <c r="BH116" i="1"/>
  <c r="AW116" i="1"/>
  <c r="BI116" i="1"/>
  <c r="AX116" i="1"/>
  <c r="BH117" i="1"/>
  <c r="AW117" i="1"/>
  <c r="BI117" i="1"/>
  <c r="AX117" i="1"/>
  <c r="BH119" i="1"/>
  <c r="AD119" i="1" s="1"/>
  <c r="AW119" i="1"/>
  <c r="BI119" i="1"/>
  <c r="AE119" i="1" s="1"/>
  <c r="AX119" i="1"/>
  <c r="BH120" i="1"/>
  <c r="AD120" i="1" s="1"/>
  <c r="AW120" i="1"/>
  <c r="BI120" i="1"/>
  <c r="AE120" i="1" s="1"/>
  <c r="AX120" i="1"/>
  <c r="BH121" i="1"/>
  <c r="AD121" i="1" s="1"/>
  <c r="AW121" i="1"/>
  <c r="BI121" i="1"/>
  <c r="AE121" i="1" s="1"/>
  <c r="AX121" i="1"/>
  <c r="BH122" i="1"/>
  <c r="AD122" i="1" s="1"/>
  <c r="AW122" i="1"/>
  <c r="BI122" i="1"/>
  <c r="AE122" i="1" s="1"/>
  <c r="AX122" i="1"/>
  <c r="BH123" i="1"/>
  <c r="AD123" i="1" s="1"/>
  <c r="AW123" i="1"/>
  <c r="BI123" i="1"/>
  <c r="AE123" i="1" s="1"/>
  <c r="AX123" i="1"/>
  <c r="BH124" i="1"/>
  <c r="AD124" i="1" s="1"/>
  <c r="AW124" i="1"/>
  <c r="BI124" i="1"/>
  <c r="AE124" i="1" s="1"/>
  <c r="AX124" i="1"/>
  <c r="BH125" i="1"/>
  <c r="AD125" i="1" s="1"/>
  <c r="AW125" i="1"/>
  <c r="BI125" i="1"/>
  <c r="AE125" i="1" s="1"/>
  <c r="AX125" i="1"/>
  <c r="BH127" i="1"/>
  <c r="AB127" i="1" s="1"/>
  <c r="AW127" i="1"/>
  <c r="BI127" i="1"/>
  <c r="AC127" i="1" s="1"/>
  <c r="AX127" i="1"/>
  <c r="BH129" i="1"/>
  <c r="AF129" i="1" s="1"/>
  <c r="AW129" i="1"/>
  <c r="BI129" i="1"/>
  <c r="AG129" i="1" s="1"/>
  <c r="AX129" i="1"/>
  <c r="BH131" i="1"/>
  <c r="AB131" i="1" s="1"/>
  <c r="AW131" i="1"/>
  <c r="BI131" i="1"/>
  <c r="AC131" i="1" s="1"/>
  <c r="AX131" i="1"/>
  <c r="BH132" i="1"/>
  <c r="AB132" i="1" s="1"/>
  <c r="AW132" i="1"/>
  <c r="BI132" i="1"/>
  <c r="AC132" i="1" s="1"/>
  <c r="AX132" i="1"/>
  <c r="BH133" i="1"/>
  <c r="AB133" i="1" s="1"/>
  <c r="AW133" i="1"/>
  <c r="BI133" i="1"/>
  <c r="AC133" i="1" s="1"/>
  <c r="AX133" i="1"/>
  <c r="BH134" i="1"/>
  <c r="AB134" i="1" s="1"/>
  <c r="AW134" i="1"/>
  <c r="BI134" i="1"/>
  <c r="AC134" i="1" s="1"/>
  <c r="AX134" i="1"/>
  <c r="BH135" i="1"/>
  <c r="AB135" i="1" s="1"/>
  <c r="AW135" i="1"/>
  <c r="BI135" i="1"/>
  <c r="AC135" i="1" s="1"/>
  <c r="AX135" i="1"/>
  <c r="BH138" i="1"/>
  <c r="AW138" i="1"/>
  <c r="BI138" i="1"/>
  <c r="AX138" i="1"/>
  <c r="BH139" i="1"/>
  <c r="AW139" i="1"/>
  <c r="BI139" i="1"/>
  <c r="AX139" i="1"/>
  <c r="BH140" i="1"/>
  <c r="AW140" i="1"/>
  <c r="BI140" i="1"/>
  <c r="AX140" i="1"/>
  <c r="BH141" i="1"/>
  <c r="AW141" i="1"/>
  <c r="BI141" i="1"/>
  <c r="AX141" i="1"/>
  <c r="BH142" i="1"/>
  <c r="AW142" i="1"/>
  <c r="BI142" i="1"/>
  <c r="AX142" i="1"/>
  <c r="BH143" i="1"/>
  <c r="AW143" i="1"/>
  <c r="BI143" i="1"/>
  <c r="AX143" i="1"/>
  <c r="BH146" i="1"/>
  <c r="AD146" i="1" s="1"/>
  <c r="AW146" i="1"/>
  <c r="BI146" i="1"/>
  <c r="AE146" i="1" s="1"/>
  <c r="AX146" i="1"/>
  <c r="BH147" i="1"/>
  <c r="AD147" i="1" s="1"/>
  <c r="AW147" i="1"/>
  <c r="BI147" i="1"/>
  <c r="AE147" i="1" s="1"/>
  <c r="AX147" i="1"/>
  <c r="BH148" i="1"/>
  <c r="AD148" i="1" s="1"/>
  <c r="AW148" i="1"/>
  <c r="BI148" i="1"/>
  <c r="AE148" i="1" s="1"/>
  <c r="AX148" i="1"/>
  <c r="BH149" i="1"/>
  <c r="AD149" i="1" s="1"/>
  <c r="AW149" i="1"/>
  <c r="BI149" i="1"/>
  <c r="AE149" i="1" s="1"/>
  <c r="AX149" i="1"/>
  <c r="BH150" i="1"/>
  <c r="AD150" i="1" s="1"/>
  <c r="AW150" i="1"/>
  <c r="BI150" i="1"/>
  <c r="AE150" i="1" s="1"/>
  <c r="AX150" i="1"/>
  <c r="BH151" i="1"/>
  <c r="AD151" i="1" s="1"/>
  <c r="AW151" i="1"/>
  <c r="BI151" i="1"/>
  <c r="AE151" i="1" s="1"/>
  <c r="AX151" i="1"/>
  <c r="BH152" i="1"/>
  <c r="AD152" i="1" s="1"/>
  <c r="AW152" i="1"/>
  <c r="BI152" i="1"/>
  <c r="AE152" i="1" s="1"/>
  <c r="AX152" i="1"/>
  <c r="BH153" i="1"/>
  <c r="AW153" i="1"/>
  <c r="BI153" i="1"/>
  <c r="AX153" i="1"/>
  <c r="BH154" i="1"/>
  <c r="AW154" i="1"/>
  <c r="BI154" i="1"/>
  <c r="AX154" i="1"/>
  <c r="BH156" i="1"/>
  <c r="AD156" i="1" s="1"/>
  <c r="AW156" i="1"/>
  <c r="BI156" i="1"/>
  <c r="AE156" i="1" s="1"/>
  <c r="AX156" i="1"/>
  <c r="BH157" i="1"/>
  <c r="AD157" i="1" s="1"/>
  <c r="AW157" i="1"/>
  <c r="BI157" i="1"/>
  <c r="AE157" i="1" s="1"/>
  <c r="AX157" i="1"/>
  <c r="BH158" i="1"/>
  <c r="AD158" i="1" s="1"/>
  <c r="AW158" i="1"/>
  <c r="BI158" i="1"/>
  <c r="AE158" i="1" s="1"/>
  <c r="AX158" i="1"/>
  <c r="BH159" i="1"/>
  <c r="AD159" i="1" s="1"/>
  <c r="AW159" i="1"/>
  <c r="BI159" i="1"/>
  <c r="AE159" i="1" s="1"/>
  <c r="AX159" i="1"/>
  <c r="BH160" i="1"/>
  <c r="AD160" i="1" s="1"/>
  <c r="AW160" i="1"/>
  <c r="BI160" i="1"/>
  <c r="AE160" i="1" s="1"/>
  <c r="AX160" i="1"/>
  <c r="BH161" i="1"/>
  <c r="AD161" i="1" s="1"/>
  <c r="AW161" i="1"/>
  <c r="BI161" i="1"/>
  <c r="AE161" i="1" s="1"/>
  <c r="AX161" i="1"/>
  <c r="BH162" i="1"/>
  <c r="AD162" i="1" s="1"/>
  <c r="AW162" i="1"/>
  <c r="BI162" i="1"/>
  <c r="AE162" i="1" s="1"/>
  <c r="AX162" i="1"/>
  <c r="BH163" i="1"/>
  <c r="AD163" i="1" s="1"/>
  <c r="AW163" i="1"/>
  <c r="BI163" i="1"/>
  <c r="AE163" i="1" s="1"/>
  <c r="AX163" i="1"/>
  <c r="BH164" i="1"/>
  <c r="AW164" i="1"/>
  <c r="BI164" i="1"/>
  <c r="AX164" i="1"/>
  <c r="BH165" i="1"/>
  <c r="AW165" i="1"/>
  <c r="BI165" i="1"/>
  <c r="AX165" i="1"/>
  <c r="BH167" i="1"/>
  <c r="AD167" i="1" s="1"/>
  <c r="AW167" i="1"/>
  <c r="BI167" i="1"/>
  <c r="AE167" i="1" s="1"/>
  <c r="AX167" i="1"/>
  <c r="BH168" i="1"/>
  <c r="AD168" i="1" s="1"/>
  <c r="AW168" i="1"/>
  <c r="BI168" i="1"/>
  <c r="AE168" i="1" s="1"/>
  <c r="AX168" i="1"/>
  <c r="BH169" i="1"/>
  <c r="AD169" i="1" s="1"/>
  <c r="AW169" i="1"/>
  <c r="BI169" i="1"/>
  <c r="AE169" i="1" s="1"/>
  <c r="AX169" i="1"/>
  <c r="BH170" i="1"/>
  <c r="AD170" i="1" s="1"/>
  <c r="AW170" i="1"/>
  <c r="BI170" i="1"/>
  <c r="AE170" i="1" s="1"/>
  <c r="AX170" i="1"/>
  <c r="BH171" i="1"/>
  <c r="AD171" i="1" s="1"/>
  <c r="AW171" i="1"/>
  <c r="BI171" i="1"/>
  <c r="AE171" i="1" s="1"/>
  <c r="AX171" i="1"/>
  <c r="BH173" i="1"/>
  <c r="AD173" i="1" s="1"/>
  <c r="AW173" i="1"/>
  <c r="BI173" i="1"/>
  <c r="AE173" i="1" s="1"/>
  <c r="AX173" i="1"/>
  <c r="BH174" i="1"/>
  <c r="AD174" i="1" s="1"/>
  <c r="AW174" i="1"/>
  <c r="BI174" i="1"/>
  <c r="AE174" i="1" s="1"/>
  <c r="AX174" i="1"/>
  <c r="BH175" i="1"/>
  <c r="AD175" i="1" s="1"/>
  <c r="AW175" i="1"/>
  <c r="BI175" i="1"/>
  <c r="AE175" i="1" s="1"/>
  <c r="AX175" i="1"/>
  <c r="BH176" i="1"/>
  <c r="AD176" i="1" s="1"/>
  <c r="AW176" i="1"/>
  <c r="BI176" i="1"/>
  <c r="AE176" i="1" s="1"/>
  <c r="AX176" i="1"/>
  <c r="BH177" i="1"/>
  <c r="AD177" i="1" s="1"/>
  <c r="AW177" i="1"/>
  <c r="BI177" i="1"/>
  <c r="AE177" i="1" s="1"/>
  <c r="AX177" i="1"/>
  <c r="BH178" i="1"/>
  <c r="AD178" i="1" s="1"/>
  <c r="AW178" i="1"/>
  <c r="BI178" i="1"/>
  <c r="AE178" i="1" s="1"/>
  <c r="AX178" i="1"/>
  <c r="BH179" i="1"/>
  <c r="AD179" i="1" s="1"/>
  <c r="AW179" i="1"/>
  <c r="BI179" i="1"/>
  <c r="AE179" i="1" s="1"/>
  <c r="AX179" i="1"/>
  <c r="BH180" i="1"/>
  <c r="AD180" i="1" s="1"/>
  <c r="AW180" i="1"/>
  <c r="BI180" i="1"/>
  <c r="AE180" i="1" s="1"/>
  <c r="AX180" i="1"/>
  <c r="BH182" i="1"/>
  <c r="AD182" i="1" s="1"/>
  <c r="AW182" i="1"/>
  <c r="BI182" i="1"/>
  <c r="AE182" i="1" s="1"/>
  <c r="AX182" i="1"/>
  <c r="BH183" i="1"/>
  <c r="AD183" i="1" s="1"/>
  <c r="AW183" i="1"/>
  <c r="BI183" i="1"/>
  <c r="AE183" i="1" s="1"/>
  <c r="AX183" i="1"/>
  <c r="BH184" i="1"/>
  <c r="AD184" i="1" s="1"/>
  <c r="AW184" i="1"/>
  <c r="BI184" i="1"/>
  <c r="AE184" i="1" s="1"/>
  <c r="AX184" i="1"/>
  <c r="BH185" i="1"/>
  <c r="AD185" i="1" s="1"/>
  <c r="AW185" i="1"/>
  <c r="BI185" i="1"/>
  <c r="AE185" i="1" s="1"/>
  <c r="AX185" i="1"/>
  <c r="BH186" i="1"/>
  <c r="AD186" i="1" s="1"/>
  <c r="AW186" i="1"/>
  <c r="BI186" i="1"/>
  <c r="AE186" i="1" s="1"/>
  <c r="AX186" i="1"/>
  <c r="BH187" i="1"/>
  <c r="AF187" i="1" s="1"/>
  <c r="AW187" i="1"/>
  <c r="BI187" i="1"/>
  <c r="AG187" i="1" s="1"/>
  <c r="AX187" i="1"/>
  <c r="BH188" i="1"/>
  <c r="AW188" i="1"/>
  <c r="BI188" i="1"/>
  <c r="AX188" i="1"/>
  <c r="BH189" i="1"/>
  <c r="AW189" i="1"/>
  <c r="BI189" i="1"/>
  <c r="AX189" i="1"/>
  <c r="BH191" i="1"/>
  <c r="AD191" i="1" s="1"/>
  <c r="AW191" i="1"/>
  <c r="BI191" i="1"/>
  <c r="AE191" i="1" s="1"/>
  <c r="AX191" i="1"/>
  <c r="BH192" i="1"/>
  <c r="AD192" i="1" s="1"/>
  <c r="AW192" i="1"/>
  <c r="BI192" i="1"/>
  <c r="AE192" i="1" s="1"/>
  <c r="AX192" i="1"/>
  <c r="BH193" i="1"/>
  <c r="AD193" i="1" s="1"/>
  <c r="AW193" i="1"/>
  <c r="BI193" i="1"/>
  <c r="AE193" i="1" s="1"/>
  <c r="AX193" i="1"/>
  <c r="BH194" i="1"/>
  <c r="AD194" i="1" s="1"/>
  <c r="AW194" i="1"/>
  <c r="BI194" i="1"/>
  <c r="AE194" i="1" s="1"/>
  <c r="AX194" i="1"/>
  <c r="BH195" i="1"/>
  <c r="AD195" i="1" s="1"/>
  <c r="AW195" i="1"/>
  <c r="BI195" i="1"/>
  <c r="AE195" i="1" s="1"/>
  <c r="AX195" i="1"/>
  <c r="BH196" i="1"/>
  <c r="AD196" i="1" s="1"/>
  <c r="AW196" i="1"/>
  <c r="BI196" i="1"/>
  <c r="AE196" i="1" s="1"/>
  <c r="AX196" i="1"/>
  <c r="BH197" i="1"/>
  <c r="AD197" i="1" s="1"/>
  <c r="AW197" i="1"/>
  <c r="BI197" i="1"/>
  <c r="AE197" i="1" s="1"/>
  <c r="AX197" i="1"/>
  <c r="BH198" i="1"/>
  <c r="AD198" i="1" s="1"/>
  <c r="AW198" i="1"/>
  <c r="BI198" i="1"/>
  <c r="AE198" i="1" s="1"/>
  <c r="AX198" i="1"/>
  <c r="BH199" i="1"/>
  <c r="AD199" i="1" s="1"/>
  <c r="AW199" i="1"/>
  <c r="BI199" i="1"/>
  <c r="AE199" i="1" s="1"/>
  <c r="AX199" i="1"/>
  <c r="BH200" i="1"/>
  <c r="AD200" i="1" s="1"/>
  <c r="AW200" i="1"/>
  <c r="BI200" i="1"/>
  <c r="AE200" i="1" s="1"/>
  <c r="AX200" i="1"/>
  <c r="BH201" i="1"/>
  <c r="AD201" i="1" s="1"/>
  <c r="AW201" i="1"/>
  <c r="BI201" i="1"/>
  <c r="AE201" i="1" s="1"/>
  <c r="AX201" i="1"/>
  <c r="BH202" i="1"/>
  <c r="AD202" i="1" s="1"/>
  <c r="AW202" i="1"/>
  <c r="BI202" i="1"/>
  <c r="AE202" i="1" s="1"/>
  <c r="AX202" i="1"/>
  <c r="BH203" i="1"/>
  <c r="AD203" i="1" s="1"/>
  <c r="AW203" i="1"/>
  <c r="BI203" i="1"/>
  <c r="AE203" i="1" s="1"/>
  <c r="AX203" i="1"/>
  <c r="BH204" i="1"/>
  <c r="AD204" i="1" s="1"/>
  <c r="AW204" i="1"/>
  <c r="BI204" i="1"/>
  <c r="AE204" i="1" s="1"/>
  <c r="AX204" i="1"/>
  <c r="BH205" i="1"/>
  <c r="AD205" i="1" s="1"/>
  <c r="AW205" i="1"/>
  <c r="BI205" i="1"/>
  <c r="AE205" i="1" s="1"/>
  <c r="AX205" i="1"/>
  <c r="BH206" i="1"/>
  <c r="AD206" i="1" s="1"/>
  <c r="AW206" i="1"/>
  <c r="BI206" i="1"/>
  <c r="AE206" i="1" s="1"/>
  <c r="AX206" i="1"/>
  <c r="BH207" i="1"/>
  <c r="AW207" i="1"/>
  <c r="BI207" i="1"/>
  <c r="AX207" i="1"/>
  <c r="BH208" i="1"/>
  <c r="AW208" i="1"/>
  <c r="BI208" i="1"/>
  <c r="AX208" i="1"/>
  <c r="BH210" i="1"/>
  <c r="AD210" i="1" s="1"/>
  <c r="AW210" i="1"/>
  <c r="BI210" i="1"/>
  <c r="AE210" i="1" s="1"/>
  <c r="AX210" i="1"/>
  <c r="BH211" i="1"/>
  <c r="AD211" i="1" s="1"/>
  <c r="AW211" i="1"/>
  <c r="BI211" i="1"/>
  <c r="AE211" i="1" s="1"/>
  <c r="AX211" i="1"/>
  <c r="BH212" i="1"/>
  <c r="AD212" i="1" s="1"/>
  <c r="AW212" i="1"/>
  <c r="BI212" i="1"/>
  <c r="AE212" i="1" s="1"/>
  <c r="AX212" i="1"/>
  <c r="BH214" i="1"/>
  <c r="AD214" i="1" s="1"/>
  <c r="AW214" i="1"/>
  <c r="BI214" i="1"/>
  <c r="AE214" i="1" s="1"/>
  <c r="AX214" i="1"/>
  <c r="BH215" i="1"/>
  <c r="AD215" i="1" s="1"/>
  <c r="AW215" i="1"/>
  <c r="BI215" i="1"/>
  <c r="AE215" i="1" s="1"/>
  <c r="AX215" i="1"/>
  <c r="BH216" i="1"/>
  <c r="AD216" i="1" s="1"/>
  <c r="AW216" i="1"/>
  <c r="BI216" i="1"/>
  <c r="AE216" i="1" s="1"/>
  <c r="AX216" i="1"/>
  <c r="BH218" i="1"/>
  <c r="AB218" i="1" s="1"/>
  <c r="AW218" i="1"/>
  <c r="BI218" i="1"/>
  <c r="AC218" i="1" s="1"/>
  <c r="AX218" i="1"/>
  <c r="BH219" i="1"/>
  <c r="AB219" i="1" s="1"/>
  <c r="AW219" i="1"/>
  <c r="BI219" i="1"/>
  <c r="AC219" i="1" s="1"/>
  <c r="AX219" i="1"/>
  <c r="BH221" i="1"/>
  <c r="AB221" i="1" s="1"/>
  <c r="AW221" i="1"/>
  <c r="BI221" i="1"/>
  <c r="AC221" i="1" s="1"/>
  <c r="AX221" i="1"/>
  <c r="BH222" i="1"/>
  <c r="AB222" i="1" s="1"/>
  <c r="AW222" i="1"/>
  <c r="BI222" i="1"/>
  <c r="AC222" i="1" s="1"/>
  <c r="AX222" i="1"/>
  <c r="BH223" i="1"/>
  <c r="AB223" i="1" s="1"/>
  <c r="AW223" i="1"/>
  <c r="BI223" i="1"/>
  <c r="AC223" i="1" s="1"/>
  <c r="AX223" i="1"/>
  <c r="BH224" i="1"/>
  <c r="AB224" i="1" s="1"/>
  <c r="AW224" i="1"/>
  <c r="BI224" i="1"/>
  <c r="AC224" i="1" s="1"/>
  <c r="AX224" i="1"/>
  <c r="BH225" i="1"/>
  <c r="AB225" i="1" s="1"/>
  <c r="AW225" i="1"/>
  <c r="BI225" i="1"/>
  <c r="AC225" i="1" s="1"/>
  <c r="AX225" i="1"/>
  <c r="BH228" i="1"/>
  <c r="AW228" i="1"/>
  <c r="BI228" i="1"/>
  <c r="AX228" i="1"/>
  <c r="BH229" i="1"/>
  <c r="AW229" i="1"/>
  <c r="BI229" i="1"/>
  <c r="AX229" i="1"/>
  <c r="BH230" i="1"/>
  <c r="AW230" i="1"/>
  <c r="BI230" i="1"/>
  <c r="AX230" i="1"/>
  <c r="I45" i="3"/>
  <c r="I24" i="2" s="1"/>
  <c r="BC230" i="1" l="1"/>
  <c r="AV230" i="1"/>
  <c r="BC229" i="1"/>
  <c r="AV229" i="1"/>
  <c r="BC228" i="1"/>
  <c r="AV228" i="1"/>
  <c r="BC225" i="1"/>
  <c r="AV225" i="1"/>
  <c r="BC224" i="1"/>
  <c r="AV224" i="1"/>
  <c r="BC223" i="1"/>
  <c r="AV223" i="1"/>
  <c r="BC222" i="1"/>
  <c r="AV222" i="1"/>
  <c r="BC221" i="1"/>
  <c r="AV221" i="1"/>
  <c r="BC219" i="1"/>
  <c r="AV219" i="1"/>
  <c r="BC218" i="1"/>
  <c r="AV218" i="1"/>
  <c r="BC216" i="1"/>
  <c r="AV216" i="1"/>
  <c r="BC215" i="1"/>
  <c r="AV215" i="1"/>
  <c r="BC214" i="1"/>
  <c r="AV214" i="1"/>
  <c r="BC212" i="1"/>
  <c r="AV212" i="1"/>
  <c r="BC211" i="1"/>
  <c r="AV211" i="1"/>
  <c r="BC210" i="1"/>
  <c r="AV210" i="1"/>
  <c r="BC208" i="1"/>
  <c r="AV208" i="1"/>
  <c r="BC207" i="1"/>
  <c r="AV207" i="1"/>
  <c r="BC206" i="1"/>
  <c r="AV206" i="1"/>
  <c r="BC205" i="1"/>
  <c r="AV205" i="1"/>
  <c r="BC204" i="1"/>
  <c r="AV204" i="1"/>
  <c r="BC203" i="1"/>
  <c r="AV203" i="1"/>
  <c r="BC202" i="1"/>
  <c r="AV202" i="1"/>
  <c r="BC201" i="1"/>
  <c r="AV201" i="1"/>
  <c r="BC200" i="1"/>
  <c r="AV200" i="1"/>
  <c r="BC199" i="1"/>
  <c r="AV199" i="1"/>
  <c r="BC198" i="1"/>
  <c r="AV198" i="1"/>
  <c r="BC197" i="1"/>
  <c r="AV197" i="1"/>
  <c r="BC196" i="1"/>
  <c r="AV196" i="1"/>
  <c r="BC195" i="1"/>
  <c r="AV195" i="1"/>
  <c r="BC194" i="1"/>
  <c r="AV194" i="1"/>
  <c r="BC193" i="1"/>
  <c r="AV193" i="1"/>
  <c r="BC192" i="1"/>
  <c r="AV192" i="1"/>
  <c r="BC191" i="1"/>
  <c r="AV191" i="1"/>
  <c r="BC189" i="1"/>
  <c r="AV189" i="1"/>
  <c r="BC188" i="1"/>
  <c r="AV188" i="1"/>
  <c r="BC187" i="1"/>
  <c r="AV187" i="1"/>
  <c r="BC186" i="1"/>
  <c r="AV186" i="1"/>
  <c r="BC185" i="1"/>
  <c r="AV185" i="1"/>
  <c r="BC184" i="1"/>
  <c r="AV184" i="1"/>
  <c r="BC183" i="1"/>
  <c r="AV183" i="1"/>
  <c r="BC182" i="1"/>
  <c r="AV182" i="1"/>
  <c r="BC180" i="1"/>
  <c r="AV180" i="1"/>
  <c r="BC179" i="1"/>
  <c r="AV179" i="1"/>
  <c r="BC178" i="1"/>
  <c r="AV178" i="1"/>
  <c r="BC177" i="1"/>
  <c r="AV177" i="1"/>
  <c r="BC176" i="1"/>
  <c r="AV176" i="1"/>
  <c r="BC175" i="1"/>
  <c r="AV175" i="1"/>
  <c r="BC174" i="1"/>
  <c r="AV174" i="1"/>
  <c r="BC173" i="1"/>
  <c r="AV173" i="1"/>
  <c r="BC171" i="1"/>
  <c r="AV171" i="1"/>
  <c r="BC170" i="1"/>
  <c r="AV170" i="1"/>
  <c r="BC169" i="1"/>
  <c r="AV169" i="1"/>
  <c r="BC168" i="1"/>
  <c r="AV168" i="1"/>
  <c r="BC167" i="1"/>
  <c r="AV167" i="1"/>
  <c r="BC165" i="1"/>
  <c r="AV165" i="1"/>
  <c r="BC164" i="1"/>
  <c r="AV164" i="1"/>
  <c r="BC163" i="1"/>
  <c r="AV163" i="1"/>
  <c r="BC162" i="1"/>
  <c r="AV162" i="1"/>
  <c r="BC161" i="1"/>
  <c r="AV161" i="1"/>
  <c r="BC160" i="1"/>
  <c r="AV160" i="1"/>
  <c r="BC159" i="1"/>
  <c r="AV159" i="1"/>
  <c r="BC158" i="1"/>
  <c r="AV158" i="1"/>
  <c r="BC157" i="1"/>
  <c r="AV157" i="1"/>
  <c r="BC156" i="1"/>
  <c r="AV156" i="1"/>
  <c r="BC154" i="1"/>
  <c r="AV154" i="1"/>
  <c r="BC153" i="1"/>
  <c r="AV153" i="1"/>
  <c r="BC152" i="1"/>
  <c r="AV152" i="1"/>
  <c r="BC151" i="1"/>
  <c r="AV151" i="1"/>
  <c r="BC150" i="1"/>
  <c r="AV150" i="1"/>
  <c r="BC149" i="1"/>
  <c r="AV149" i="1"/>
  <c r="BC148" i="1"/>
  <c r="AV148" i="1"/>
  <c r="BC147" i="1"/>
  <c r="AV147" i="1"/>
  <c r="BC146" i="1"/>
  <c r="AV146" i="1"/>
  <c r="BC143" i="1"/>
  <c r="AV143" i="1"/>
  <c r="BC142" i="1"/>
  <c r="AV142" i="1"/>
  <c r="BC141" i="1"/>
  <c r="AV141" i="1"/>
  <c r="BC140" i="1"/>
  <c r="AV140" i="1"/>
  <c r="BC139" i="1"/>
  <c r="AV139" i="1"/>
  <c r="BC138" i="1"/>
  <c r="AV138" i="1"/>
  <c r="BC135" i="1"/>
  <c r="AV135" i="1"/>
  <c r="BC134" i="1"/>
  <c r="AV134" i="1"/>
  <c r="BC133" i="1"/>
  <c r="AV133" i="1"/>
  <c r="BC132" i="1"/>
  <c r="AV132" i="1"/>
  <c r="BC131" i="1"/>
  <c r="AV131" i="1"/>
  <c r="BC129" i="1"/>
  <c r="AV129" i="1"/>
  <c r="BC127" i="1"/>
  <c r="AV127" i="1"/>
  <c r="BC125" i="1"/>
  <c r="AV125" i="1"/>
  <c r="BC124" i="1"/>
  <c r="AV124" i="1"/>
  <c r="BC123" i="1"/>
  <c r="AV123" i="1"/>
  <c r="BC122" i="1"/>
  <c r="AV122" i="1"/>
  <c r="BC121" i="1"/>
  <c r="AV121" i="1"/>
  <c r="BC120" i="1"/>
  <c r="AV120" i="1"/>
  <c r="BC119" i="1"/>
  <c r="AV119" i="1"/>
  <c r="BC117" i="1"/>
  <c r="AV117" i="1"/>
  <c r="BC116" i="1"/>
  <c r="AV116" i="1"/>
  <c r="BC115" i="1"/>
  <c r="AV115" i="1"/>
  <c r="BC114" i="1"/>
  <c r="AV114" i="1"/>
  <c r="BC113" i="1"/>
  <c r="AV113" i="1"/>
  <c r="BC112" i="1"/>
  <c r="AV112" i="1"/>
  <c r="BC111" i="1"/>
  <c r="AV111" i="1"/>
  <c r="BC110" i="1"/>
  <c r="AV110" i="1"/>
  <c r="BC109" i="1"/>
  <c r="AV109" i="1"/>
  <c r="BC108" i="1"/>
  <c r="AV108" i="1"/>
  <c r="BC107" i="1"/>
  <c r="AV107" i="1"/>
  <c r="BC105" i="1"/>
  <c r="AV105" i="1"/>
  <c r="BC104" i="1"/>
  <c r="AV104" i="1"/>
  <c r="BC103" i="1"/>
  <c r="AV103" i="1"/>
  <c r="BC102" i="1"/>
  <c r="AV102" i="1"/>
  <c r="BC101" i="1"/>
  <c r="AV101" i="1"/>
  <c r="BC100" i="1"/>
  <c r="AV100" i="1"/>
  <c r="BC99" i="1"/>
  <c r="AV99" i="1"/>
  <c r="BC98" i="1"/>
  <c r="AV98" i="1"/>
  <c r="BC97" i="1"/>
  <c r="AV97" i="1"/>
  <c r="BC96" i="1"/>
  <c r="AV96" i="1"/>
  <c r="BC94" i="1"/>
  <c r="AV94" i="1"/>
  <c r="BC93" i="1"/>
  <c r="AV93" i="1"/>
  <c r="BC92" i="1"/>
  <c r="AV92" i="1"/>
  <c r="BC91" i="1"/>
  <c r="AV91" i="1"/>
  <c r="BC90" i="1"/>
  <c r="AV90" i="1"/>
  <c r="BC89" i="1"/>
  <c r="AV89" i="1"/>
  <c r="BC88" i="1"/>
  <c r="AV88" i="1"/>
  <c r="BC87" i="1"/>
  <c r="AV87" i="1"/>
  <c r="BC86" i="1"/>
  <c r="AV86" i="1"/>
  <c r="BC85" i="1"/>
  <c r="AV85" i="1"/>
  <c r="BC84" i="1"/>
  <c r="AV84" i="1"/>
  <c r="BC83" i="1"/>
  <c r="AV83" i="1"/>
  <c r="BC82" i="1"/>
  <c r="AV82" i="1"/>
  <c r="BC81" i="1"/>
  <c r="AV81" i="1"/>
  <c r="BC80" i="1"/>
  <c r="AV80" i="1"/>
  <c r="BC79" i="1"/>
  <c r="AV79" i="1"/>
  <c r="BC78" i="1"/>
  <c r="AV78" i="1"/>
  <c r="BC77" i="1"/>
  <c r="AV77" i="1"/>
  <c r="BC76" i="1"/>
  <c r="AV76" i="1"/>
  <c r="BC75" i="1"/>
  <c r="AV75" i="1"/>
  <c r="BC73" i="1"/>
  <c r="AV73" i="1"/>
  <c r="BC72" i="1"/>
  <c r="AV72" i="1"/>
  <c r="BC71" i="1"/>
  <c r="AV71" i="1"/>
  <c r="BC70" i="1"/>
  <c r="AV70" i="1"/>
  <c r="BC69" i="1"/>
  <c r="AV69" i="1"/>
  <c r="BC68" i="1"/>
  <c r="AV68" i="1"/>
  <c r="BC67" i="1"/>
  <c r="AV67" i="1"/>
  <c r="BC66" i="1"/>
  <c r="AV66" i="1"/>
  <c r="BC65" i="1"/>
  <c r="AV65" i="1"/>
  <c r="BC64" i="1"/>
  <c r="AV64" i="1"/>
  <c r="BC63" i="1"/>
  <c r="AV63" i="1"/>
  <c r="BC62" i="1"/>
  <c r="AV62" i="1"/>
  <c r="BC61" i="1"/>
  <c r="AV61" i="1"/>
  <c r="BC60" i="1"/>
  <c r="AV60" i="1"/>
  <c r="BC59" i="1"/>
  <c r="AV59" i="1"/>
  <c r="BC58" i="1"/>
  <c r="AV58" i="1"/>
  <c r="BC57" i="1"/>
  <c r="AV57" i="1"/>
  <c r="BC56" i="1"/>
  <c r="AV56" i="1"/>
  <c r="BC55" i="1"/>
  <c r="AV55" i="1"/>
  <c r="BC54" i="1"/>
  <c r="AV54" i="1"/>
  <c r="BC53" i="1"/>
  <c r="AV53" i="1"/>
  <c r="C19" i="2"/>
  <c r="BC52" i="1"/>
  <c r="AV52" i="1"/>
  <c r="C18" i="2"/>
  <c r="BC51" i="1"/>
  <c r="AV51" i="1"/>
  <c r="BC49" i="1"/>
  <c r="AV49" i="1"/>
  <c r="BC48" i="1"/>
  <c r="AV48" i="1"/>
  <c r="BC47" i="1"/>
  <c r="AV47" i="1"/>
  <c r="BC46" i="1"/>
  <c r="AV46" i="1"/>
  <c r="BC45" i="1"/>
  <c r="AV45" i="1"/>
  <c r="BC44" i="1"/>
  <c r="AV44" i="1"/>
  <c r="BC43" i="1"/>
  <c r="AV43" i="1"/>
  <c r="BC41" i="1"/>
  <c r="AV41" i="1"/>
  <c r="BC40" i="1"/>
  <c r="AV40" i="1"/>
  <c r="BC39" i="1"/>
  <c r="AV39" i="1"/>
  <c r="BC38" i="1"/>
  <c r="AV38" i="1"/>
  <c r="BC37" i="1"/>
  <c r="AV37" i="1"/>
  <c r="BC36" i="1"/>
  <c r="AV36" i="1"/>
  <c r="BC34" i="1"/>
  <c r="AV34" i="1"/>
  <c r="BC33" i="1"/>
  <c r="AV33" i="1"/>
  <c r="BC32" i="1"/>
  <c r="AV32" i="1"/>
  <c r="BC31" i="1"/>
  <c r="AV31" i="1"/>
  <c r="BC30" i="1"/>
  <c r="AV30" i="1"/>
  <c r="C17" i="2"/>
  <c r="BC29" i="1"/>
  <c r="AV29" i="1"/>
  <c r="C16" i="2"/>
  <c r="BC27" i="1"/>
  <c r="AV27" i="1"/>
  <c r="BC26" i="1"/>
  <c r="AV26" i="1"/>
  <c r="BC25" i="1"/>
  <c r="AV25" i="1"/>
  <c r="BC24" i="1"/>
  <c r="AV24" i="1"/>
  <c r="BC23" i="1"/>
  <c r="AV23" i="1"/>
  <c r="BC22" i="1"/>
  <c r="AV22" i="1"/>
  <c r="BC21" i="1"/>
  <c r="AV21" i="1"/>
  <c r="BC20" i="1"/>
  <c r="AV20" i="1"/>
  <c r="BC19" i="1"/>
  <c r="AV19" i="1"/>
  <c r="BC18" i="1"/>
  <c r="AV18" i="1"/>
  <c r="BC17" i="1"/>
  <c r="AV17" i="1"/>
  <c r="BC16" i="1"/>
  <c r="AV16" i="1"/>
  <c r="BC15" i="1"/>
  <c r="AV15" i="1"/>
  <c r="C15" i="2"/>
  <c r="BC14" i="1"/>
  <c r="AV14" i="1"/>
  <c r="C14" i="2"/>
  <c r="C22" i="2" s="1"/>
</calcChain>
</file>

<file path=xl/sharedStrings.xml><?xml version="1.0" encoding="utf-8"?>
<sst xmlns="http://schemas.openxmlformats.org/spreadsheetml/2006/main" count="2775" uniqueCount="711">
  <si>
    <t>Slepý stavební rozpočet</t>
  </si>
  <si>
    <t>Název stavby:</t>
  </si>
  <si>
    <t>Oprava kotelny na Srbské</t>
  </si>
  <si>
    <t>Doba výstavby:</t>
  </si>
  <si>
    <t xml:space="preserve"> </t>
  </si>
  <si>
    <t>Objednatel:</t>
  </si>
  <si>
    <t>STAREZ – SPORT, a.s.</t>
  </si>
  <si>
    <t>Druh stavby:</t>
  </si>
  <si>
    <t>Oprava kotelny</t>
  </si>
  <si>
    <t>Začátek výstavby:</t>
  </si>
  <si>
    <t>01.06.2026</t>
  </si>
  <si>
    <t>Projektant:</t>
  </si>
  <si>
    <t>Ing. Lukáš Doležal, Střední 373/55, 602 00 Brno</t>
  </si>
  <si>
    <t>Lokalita:</t>
  </si>
  <si>
    <t>Srbská 47a, 612 00 Brno-Královo Pole</t>
  </si>
  <si>
    <t>Konec výstavby:</t>
  </si>
  <si>
    <t>Zhotovitel:</t>
  </si>
  <si>
    <t>dle výběrového řízení</t>
  </si>
  <si>
    <t>JKSO:</t>
  </si>
  <si>
    <t>Zpracováno dne:</t>
  </si>
  <si>
    <t>17.12.2025</t>
  </si>
  <si>
    <t>Zpracoval:</t>
  </si>
  <si>
    <t> 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</si>
  <si>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</si>
  <si>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</si>
  <si>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</si>
  <si>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</si>
  <si>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</si>
  <si>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</si>
  <si>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</si>
  <si>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</si>
  <si>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</si>
  <si>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</si>
  <si>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</si>
  <si>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</si>
  <si>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</si>
  <si>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</si>
  <si>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</si>
  <si>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</si>
  <si>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</si>
  <si>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</si>
  <si>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</si>
  <si>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</si>
  <si>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</si>
  <si>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</si>
  <si>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</si>
  <si>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</si>
  <si>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</si>
  <si>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</si>
  <si>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</si>
  <si>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</si>
  <si>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</si>
  <si>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</si>
  <si>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Oprava plynové kotelny</t>
  </si>
  <si>
    <t>0</t>
  </si>
  <si>
    <t>Všeobecné konstrukce a práce</t>
  </si>
  <si>
    <t>01</t>
  </si>
  <si>
    <t>1</t>
  </si>
  <si>
    <t>011-1VD</t>
  </si>
  <si>
    <t>Demontáž stávajícího panelového přístroje COMET (indikace/regulace tlaku)</t>
  </si>
  <si>
    <t>kus</t>
  </si>
  <si>
    <t>0_</t>
  </si>
  <si>
    <t>01_0_</t>
  </si>
  <si>
    <t>01_</t>
  </si>
  <si>
    <t>P</t>
  </si>
  <si>
    <t>2</t>
  </si>
  <si>
    <t>011-2VD</t>
  </si>
  <si>
    <t>Demontáž stávajícího snímače tlaku topného systému</t>
  </si>
  <si>
    <t>3</t>
  </si>
  <si>
    <t>011-3VD</t>
  </si>
  <si>
    <t>Likvidace/odvoz demontovaných zařízení (elektroodpad)</t>
  </si>
  <si>
    <t>4</t>
  </si>
  <si>
    <t>011-4VD</t>
  </si>
  <si>
    <t>Dodávka panelového digitálního regulátoru/indikátoru tlaku (vstup 4–20 mA/0–10 V, min. 2× relé)</t>
  </si>
  <si>
    <t>5</t>
  </si>
  <si>
    <t>011-5VD</t>
  </si>
  <si>
    <t>Dodávka snímače tlaku pro topný systém, rozsah 0–6 bar, výstup 4–20 mA, připojení dle stávajícího stavu</t>
  </si>
  <si>
    <t>6</t>
  </si>
  <si>
    <t>011-6VD</t>
  </si>
  <si>
    <t>Dodávka montážního a spojovacího materiálu (svorky, dutinky, průchodky, popisky, těsnění, redukce)</t>
  </si>
  <si>
    <t>sada</t>
  </si>
  <si>
    <t>7</t>
  </si>
  <si>
    <t>011-7VD</t>
  </si>
  <si>
    <t>Montáž panelového přístroje do dveří/čela rozvaděče vč. výřezu a uchycení</t>
  </si>
  <si>
    <t>8</t>
  </si>
  <si>
    <t>011-8VD</t>
  </si>
  <si>
    <t>Montáž a připojení snímače tlaku na stávající odběrné místo vč. těsnění</t>
  </si>
  <si>
    <t>9</t>
  </si>
  <si>
    <t>011-9VD</t>
  </si>
  <si>
    <t>Elektroinstalace a zapojení (napájení, signál snímače, relé výstupy dopouštění + alarm)</t>
  </si>
  <si>
    <t>10</t>
  </si>
  <si>
    <t>011-10VD</t>
  </si>
  <si>
    <t>Úprava a doplnění značení vodičů/svorek a popisů v rozvaděči</t>
  </si>
  <si>
    <t>11</t>
  </si>
  <si>
    <t>011-11VD</t>
  </si>
  <si>
    <t>Nastavení spínacích tlaků a hystereze dopouštění</t>
  </si>
  <si>
    <t>12</t>
  </si>
  <si>
    <t>011-12VD</t>
  </si>
  <si>
    <t>Nastavení ochranných funkcí (max. doba dopouštění/timeout, alarm poruchy snímače)</t>
  </si>
  <si>
    <t>13</t>
  </si>
  <si>
    <t>011-13VD</t>
  </si>
  <si>
    <t>Funkční zkouška dopouštění a alarmů, uvedení do provozu</t>
  </si>
  <si>
    <t>14</t>
  </si>
  <si>
    <t>011-14VD</t>
  </si>
  <si>
    <t>Předání a protokol o nastavení (nastavené meze, hystereze, test alarmů)</t>
  </si>
  <si>
    <t>713</t>
  </si>
  <si>
    <t>Izolace tepelné</t>
  </si>
  <si>
    <t>15</t>
  </si>
  <si>
    <t>713300822R00</t>
  </si>
  <si>
    <t>Odstranění stávající tepelné izolace</t>
  </si>
  <si>
    <t>m2</t>
  </si>
  <si>
    <t>RTS I / 2025</t>
  </si>
  <si>
    <t>713_</t>
  </si>
  <si>
    <t>01_71_</t>
  </si>
  <si>
    <t>16</t>
  </si>
  <si>
    <t>713411121R00</t>
  </si>
  <si>
    <t>Montáž tepelné izolace potrubí pásy LSP a drátem, 1 vrstvá</t>
  </si>
  <si>
    <t>17</t>
  </si>
  <si>
    <t>722181215RY1</t>
  </si>
  <si>
    <t>Izolace návleková tl. stěny 25 mm, vnitřní průměr 60 mm (např.  MIRELON PRO) (v PK za kotli)</t>
  </si>
  <si>
    <t>m</t>
  </si>
  <si>
    <t>18</t>
  </si>
  <si>
    <t>722181215RY3</t>
  </si>
  <si>
    <t>Izolace návleková tl. stěny 25 mm, vnitřní průměr 63 mm (např.  MIRELON PRO) (v PK u TUV1)</t>
  </si>
  <si>
    <t>19</t>
  </si>
  <si>
    <t>998713193R00</t>
  </si>
  <si>
    <t>Příplatek zvětšený přesun, izolace tepelné do 500 m</t>
  </si>
  <si>
    <t>t</t>
  </si>
  <si>
    <t>20</t>
  </si>
  <si>
    <t>998713101R00</t>
  </si>
  <si>
    <t>Přesun hmot pro izolace tepelné, výšky do 6 m</t>
  </si>
  <si>
    <t>721</t>
  </si>
  <si>
    <t>Vnitřní kanalizace</t>
  </si>
  <si>
    <t>21</t>
  </si>
  <si>
    <t>721176101R00</t>
  </si>
  <si>
    <t>Potrubí HT připojovací, D 32 x 1,8 mm, včetně montáže, (odvodnění od pojistných ventilů)</t>
  </si>
  <si>
    <t>721_</t>
  </si>
  <si>
    <t>01_72_</t>
  </si>
  <si>
    <t>22</t>
  </si>
  <si>
    <t>721176102R00</t>
  </si>
  <si>
    <t>Potrubí HT připojovací, D 40 x 1,8 mm, včetně montáže (odvodnění kondenzátu)</t>
  </si>
  <si>
    <t>23</t>
  </si>
  <si>
    <t>892561111R00</t>
  </si>
  <si>
    <t>Zkouška těsnosti kanalizace DN do 125, vodou</t>
  </si>
  <si>
    <t>24</t>
  </si>
  <si>
    <t>725334301R00</t>
  </si>
  <si>
    <t>Nálevka se sifonem PP HL21, DN 32 mm, včetně montáže, Vtok (nálevka) DN32 se zápachovou uzávěrkou a kuličkou pro suchý stav,pro odvodnění pojist.vent.</t>
  </si>
  <si>
    <t>25</t>
  </si>
  <si>
    <t>998721101R00</t>
  </si>
  <si>
    <t>Přesun hmot pro vnitřní kanalizaci, výšky do 6 m</t>
  </si>
  <si>
    <t>26</t>
  </si>
  <si>
    <t>998721193R00</t>
  </si>
  <si>
    <t>Příplatek za zvětšený přesun, vnitřní kanalizace do 500 m</t>
  </si>
  <si>
    <t>722</t>
  </si>
  <si>
    <t>Vnitřní vodovod</t>
  </si>
  <si>
    <t>27</t>
  </si>
  <si>
    <t>722178716R00</t>
  </si>
  <si>
    <t>Potrubí vícevrstvé vodovodní,Wavin Basalt Plus, polyfuzně svařené, D 63 x 8,6 mm</t>
  </si>
  <si>
    <t>722_</t>
  </si>
  <si>
    <t>28</t>
  </si>
  <si>
    <t>722280108R00</t>
  </si>
  <si>
    <t>Tlaková zkouška vodovodního potrubí DN 50 mm</t>
  </si>
  <si>
    <t>29</t>
  </si>
  <si>
    <t>733123119R00</t>
  </si>
  <si>
    <t>Příplatek za zhotovení přípojek D 63 x 8,6 mm</t>
  </si>
  <si>
    <t>30</t>
  </si>
  <si>
    <t>722235116R00</t>
  </si>
  <si>
    <t>Kohout vodovodní, kulový, DN 50, včetně montáže</t>
  </si>
  <si>
    <t>31</t>
  </si>
  <si>
    <t>722235646R00</t>
  </si>
  <si>
    <t>Klapka vodovodní, zpětná, vodorovná, DN 50, včetně montáže</t>
  </si>
  <si>
    <t>32</t>
  </si>
  <si>
    <t>998722101R00</t>
  </si>
  <si>
    <t>Přesun hmot pro vnitřní vodovod, výšky do 6 m</t>
  </si>
  <si>
    <t>33</t>
  </si>
  <si>
    <t>998722193R00</t>
  </si>
  <si>
    <t>Příplatek za zvětšený přesun, vnitřní vodovod do 500 m</t>
  </si>
  <si>
    <t>731</t>
  </si>
  <si>
    <t>Kotelny</t>
  </si>
  <si>
    <t>34</t>
  </si>
  <si>
    <t>731341130R00</t>
  </si>
  <si>
    <t>Hadice napouštěcí pryžové</t>
  </si>
  <si>
    <t>731_</t>
  </si>
  <si>
    <t>01_73_</t>
  </si>
  <si>
    <t>35</t>
  </si>
  <si>
    <t>230120205R00</t>
  </si>
  <si>
    <t>Montáž hadice pro chem. roztoky a oleje, 20 x 5, odpad od změkčovače</t>
  </si>
  <si>
    <t>36</t>
  </si>
  <si>
    <t>731300000005VD</t>
  </si>
  <si>
    <t>Neutralizační box s granulemi pro nerezový výměník, pro výkon do 500kW, včetně montáže např.BRILON NEUTRAKON 500/100</t>
  </si>
  <si>
    <t>37</t>
  </si>
  <si>
    <t>731391812R00</t>
  </si>
  <si>
    <t>Vypouštění vody z kotlů samospádem do 10 m2</t>
  </si>
  <si>
    <t>38</t>
  </si>
  <si>
    <t>731391811R00</t>
  </si>
  <si>
    <t>Vypouštění vody z kotlů samospádem do 5 m2</t>
  </si>
  <si>
    <t>39</t>
  </si>
  <si>
    <t>731201814R00</t>
  </si>
  <si>
    <t>Demontáž kotlů ocel.poloautomat. do 185 kW</t>
  </si>
  <si>
    <t>40</t>
  </si>
  <si>
    <t>725524916R00</t>
  </si>
  <si>
    <t>Odmontování kouřovodu</t>
  </si>
  <si>
    <t>41</t>
  </si>
  <si>
    <t>Demontáž stávajícího kouřovodu</t>
  </si>
  <si>
    <t>42</t>
  </si>
  <si>
    <t>731-M90651.3VD</t>
  </si>
  <si>
    <t>Redukce M DN25 redukce 1 1/4˝ x 1˝ AG/AG</t>
  </si>
  <si>
    <t>43</t>
  </si>
  <si>
    <t>731-3900221VD</t>
  </si>
  <si>
    <t>Stacionární kondenzační kotel 127 kW, 2 výměníky, 6 bar, např. TRIGON L PLUS 120 EU 20% H2</t>
  </si>
  <si>
    <t>44</t>
  </si>
  <si>
    <t>731-M90651.6VD</t>
  </si>
  <si>
    <t>Redukce M DN40 redukce 2˝ x 1 1/2˝ AG/AG</t>
  </si>
  <si>
    <t>45</t>
  </si>
  <si>
    <t>731-3905128VD</t>
  </si>
  <si>
    <t>TH/TR L Plus - čidlo MTO T10 10 kOhm, pro Thision / Trigon L PLUS</t>
  </si>
  <si>
    <t>46</t>
  </si>
  <si>
    <t>731-30026VD</t>
  </si>
  <si>
    <t>Magnetický filtr nečistot a vzduchu max. 10 bar, max. 120°C , Clean Smart 2˝</t>
  </si>
  <si>
    <t>47</t>
  </si>
  <si>
    <t>731-52105422VD</t>
  </si>
  <si>
    <t>Centrická přechodka DN110/100, s hrdlem DN110</t>
  </si>
  <si>
    <t>48</t>
  </si>
  <si>
    <t>731-52100672VD</t>
  </si>
  <si>
    <t>Univerzální sada sdružených odvodů spalin pro kaskády kotlů DN200-110</t>
  </si>
  <si>
    <t>49</t>
  </si>
  <si>
    <t>731-52100164VD</t>
  </si>
  <si>
    <t>Trubka DN200 x 1000 mm</t>
  </si>
  <si>
    <t>50</t>
  </si>
  <si>
    <t>731-52100326VD</t>
  </si>
  <si>
    <t>Koleno s kontrolním otvorem PP DN200 x 87°</t>
  </si>
  <si>
    <t>51</t>
  </si>
  <si>
    <t>731-52100166VD</t>
  </si>
  <si>
    <t>Trubka DN200 x 2000 mm</t>
  </si>
  <si>
    <t>52</t>
  </si>
  <si>
    <t>731-52106206VD</t>
  </si>
  <si>
    <t>Patní koleno s podpěrou DN200 s opěrnou kolejí SS</t>
  </si>
  <si>
    <t>53</t>
  </si>
  <si>
    <t>731-52108516VD</t>
  </si>
  <si>
    <t>Komínový poklop DN200 nerezový, s vyústěním PP-UV černá</t>
  </si>
  <si>
    <t>54</t>
  </si>
  <si>
    <t>731UDP TH/TR LVD</t>
  </si>
  <si>
    <t>Uvedení do provozu kaskády plynových kotlů - Thision/Trigon L Plus 120</t>
  </si>
  <si>
    <t>55</t>
  </si>
  <si>
    <t>998731193R00</t>
  </si>
  <si>
    <t>Příplatek zvětšený přesun, kotelny do 500 m</t>
  </si>
  <si>
    <t>56</t>
  </si>
  <si>
    <t>998731101R00</t>
  </si>
  <si>
    <t>Přesun hmot pro kotelny, výšky do 6 m</t>
  </si>
  <si>
    <t>732</t>
  </si>
  <si>
    <t>Strojovny</t>
  </si>
  <si>
    <t>57</t>
  </si>
  <si>
    <t>724311814R00</t>
  </si>
  <si>
    <t>Demontáž úpravny vody a doplňování vody</t>
  </si>
  <si>
    <t>soubor</t>
  </si>
  <si>
    <t>732_</t>
  </si>
  <si>
    <t>58</t>
  </si>
  <si>
    <t>7320000003VD</t>
  </si>
  <si>
    <t>Oběhové čerpadlo ÚT SO 01 HLAVNÍ BUDOVA, DN32, Hmax 6,0 m, Qmax 9,0 m3/h, PN10 (např. GRUNDFOS MAGNA1 32-60)</t>
  </si>
  <si>
    <t>ks</t>
  </si>
  <si>
    <t>59</t>
  </si>
  <si>
    <t>7320000001VD</t>
  </si>
  <si>
    <t>Oběhové čerpadlo u nádrže ozn.TUV 1, DN32, Hmax 4,0 m, Qmax 7,5 m3/h, (např. GRUNDFOS MAGNA1 32-40)</t>
  </si>
  <si>
    <t>60</t>
  </si>
  <si>
    <t>722000014VD</t>
  </si>
  <si>
    <t>Oběhové čerpadlo u kotle, DN32, Hmax 6,0 m, Qmax 3,5 m3/h, PN10 (např. GRUNDFOS ALPHA1 GO 32-60 180)</t>
  </si>
  <si>
    <t>61</t>
  </si>
  <si>
    <t>732420812R00</t>
  </si>
  <si>
    <t>Demontáž čerpadel oběhových spirálních DN 32</t>
  </si>
  <si>
    <t>62</t>
  </si>
  <si>
    <t>732429111R00</t>
  </si>
  <si>
    <t>Montáž čerpadel oběhových spirálních, DN 32</t>
  </si>
  <si>
    <t>63</t>
  </si>
  <si>
    <t>7320000002VD</t>
  </si>
  <si>
    <t>Cirkulační nerezové čerpadlo, DN40, Hmax 6,0 m, PN10 (např.GRUNDFOS MAGNA1 40-60 F N)</t>
  </si>
  <si>
    <t>64</t>
  </si>
  <si>
    <t>Demontáž čerpadel oběhových spirálních DN 40</t>
  </si>
  <si>
    <t>65</t>
  </si>
  <si>
    <t>732429112R00</t>
  </si>
  <si>
    <t>Montáž čerpadel oběhových spirálních, DN 40</t>
  </si>
  <si>
    <t>66</t>
  </si>
  <si>
    <t>7320000004VD</t>
  </si>
  <si>
    <t>Expanzní membránová nádoba, V = 140 L, PMAX = 6 BAR, P0 = 1,5 BAR, TSOUS = 120 °C (TPROV = 70 °C, TMIN = -10 °C), PŘIPOJENÍ R 1",</t>
  </si>
  <si>
    <t>67</t>
  </si>
  <si>
    <t>732339107R00</t>
  </si>
  <si>
    <t>Montáž nádoby expanzní tlakové 140 l</t>
  </si>
  <si>
    <t>68</t>
  </si>
  <si>
    <t>724311811R00</t>
  </si>
  <si>
    <t>Demontáž nádrže tlakové do 300 litrů</t>
  </si>
  <si>
    <t>69</t>
  </si>
  <si>
    <t>732320813R00</t>
  </si>
  <si>
    <t>Odpojení nádrží od rozvodů potrubí, do 200 l</t>
  </si>
  <si>
    <t>70</t>
  </si>
  <si>
    <t>732324813R00</t>
  </si>
  <si>
    <t>Vypuštění vody z nádrží o obsahu 200 l</t>
  </si>
  <si>
    <t>71</t>
  </si>
  <si>
    <t>732199100RM1</t>
  </si>
  <si>
    <t>Montáž orientačního štítku včetně dodávky štítku</t>
  </si>
  <si>
    <t>72</t>
  </si>
  <si>
    <t>7320000005VD</t>
  </si>
  <si>
    <t>Teplovodní doplňovací soustave se solenoidovým ventilem, DETO TDS1 vstup/výstup G 1/2", ke změkčovači G 3/4"; cívka 230 V/50 Hz; vodoměr+manometr,</t>
  </si>
  <si>
    <t>73</t>
  </si>
  <si>
    <t>7320000006VD</t>
  </si>
  <si>
    <t>Demineralizační patrona DETO PATRONA MIXBED MBP 0835, MAX. OBJEM NÁPLNĚ 25 LITRŮ</t>
  </si>
  <si>
    <t>74</t>
  </si>
  <si>
    <t>722234231R00</t>
  </si>
  <si>
    <t>Montáž úpravny vody a doplňování do systému</t>
  </si>
  <si>
    <t>75</t>
  </si>
  <si>
    <t>998732101R00</t>
  </si>
  <si>
    <t>Přesun hmot pro strojovny, výšky do 6 m</t>
  </si>
  <si>
    <t>76</t>
  </si>
  <si>
    <t>998732193R00</t>
  </si>
  <si>
    <t>Příplatek zvětšený přesun, strojovny do 500 m</t>
  </si>
  <si>
    <t>733</t>
  </si>
  <si>
    <t>Rozvod potrubí</t>
  </si>
  <si>
    <t>77</t>
  </si>
  <si>
    <t>733120819R00</t>
  </si>
  <si>
    <t>Demontáž potrubí z hladkých trubek DN50 (PK u kotlů napojení)</t>
  </si>
  <si>
    <t>733_</t>
  </si>
  <si>
    <t>78</t>
  </si>
  <si>
    <t>733121219R00</t>
  </si>
  <si>
    <t>Potrubí hladké bezešvé DN50 (PK u kotlů napojení)</t>
  </si>
  <si>
    <t>79</t>
  </si>
  <si>
    <t>733190108R00</t>
  </si>
  <si>
    <t>Tlaková zkouška potrubí  DN 50 (PK u kotlů napojení)</t>
  </si>
  <si>
    <t>80</t>
  </si>
  <si>
    <t>733120815R00</t>
  </si>
  <si>
    <t>Demontáž potrubí z hladkých trubek DN32 (PK napojení plynu)</t>
  </si>
  <si>
    <t>81</t>
  </si>
  <si>
    <t>733121216R00</t>
  </si>
  <si>
    <t>Potrubí hladké bezešvé v kotelnách DN32 (PK napojení plynu)</t>
  </si>
  <si>
    <t>82</t>
  </si>
  <si>
    <t>733190106R00</t>
  </si>
  <si>
    <t>Tlaková zkouška potrubí  DN32 (PK napojení plynu)</t>
  </si>
  <si>
    <t>83</t>
  </si>
  <si>
    <t>230170002R00</t>
  </si>
  <si>
    <t>Příprava pro zkoušku těsnosti</t>
  </si>
  <si>
    <t>84</t>
  </si>
  <si>
    <t>728112813R00</t>
  </si>
  <si>
    <t>Demontáž spalinové cesty</t>
  </si>
  <si>
    <t>85</t>
  </si>
  <si>
    <t>998733101R00</t>
  </si>
  <si>
    <t>Přesun hmot pro rozvody potrubí, výšky do 6 m</t>
  </si>
  <si>
    <t>86</t>
  </si>
  <si>
    <t>998733193R00</t>
  </si>
  <si>
    <t>Příplatek zvětš. přesun, rozvody potrubí do 500 m</t>
  </si>
  <si>
    <t>734</t>
  </si>
  <si>
    <t>Armatury</t>
  </si>
  <si>
    <t>87</t>
  </si>
  <si>
    <t>734233126R00</t>
  </si>
  <si>
    <t>Kohout kulový DN50, včetně montáže (topná voda)</t>
  </si>
  <si>
    <t>734_</t>
  </si>
  <si>
    <t>88</t>
  </si>
  <si>
    <t>734245126R00</t>
  </si>
  <si>
    <t>Ventil zpětný DN50, včetně montáže (PK - topná voda za kotli)</t>
  </si>
  <si>
    <t>89</t>
  </si>
  <si>
    <t>734200824R00</t>
  </si>
  <si>
    <t>Demontáž armatur se 2závity do G 2</t>
  </si>
  <si>
    <t>90</t>
  </si>
  <si>
    <t>734295216R00</t>
  </si>
  <si>
    <t>Filtr, závitový G 2 "  (PK - topná voda za kotli)</t>
  </si>
  <si>
    <t>91</t>
  </si>
  <si>
    <t>734254122R00</t>
  </si>
  <si>
    <t>Ventil pojistný, pOT=3,5bar, včetně montáže</t>
  </si>
  <si>
    <t>92</t>
  </si>
  <si>
    <t>734233124R00</t>
  </si>
  <si>
    <t>Kohout kulový DN32, včetně montáže (topná voda)</t>
  </si>
  <si>
    <t>93</t>
  </si>
  <si>
    <t>734200823R00</t>
  </si>
  <si>
    <t>Demontáž armatur se 2závity do G 6/4</t>
  </si>
  <si>
    <t>94</t>
  </si>
  <si>
    <t>734230000001</t>
  </si>
  <si>
    <t>Kulový kohout se zajištěním k expanzní nádobě</t>
  </si>
  <si>
    <t>RTS II / 2023</t>
  </si>
  <si>
    <t>95</t>
  </si>
  <si>
    <t>734421150R00</t>
  </si>
  <si>
    <t>Tlakoměr 0-6 bar, s pevným stonkem a jímkou, včetně montáže</t>
  </si>
  <si>
    <t>96</t>
  </si>
  <si>
    <t>998734193R00</t>
  </si>
  <si>
    <t>Příplatek zvětšený přesun, armatury do 500 m</t>
  </si>
  <si>
    <t>97</t>
  </si>
  <si>
    <t>998734101R00</t>
  </si>
  <si>
    <t>Přesun hmot pro armatury, výšky do 6 m</t>
  </si>
  <si>
    <t>783</t>
  </si>
  <si>
    <t>Nátěry</t>
  </si>
  <si>
    <t>98</t>
  </si>
  <si>
    <t>7832251_1VD</t>
  </si>
  <si>
    <t>Zakrytí a příprava pracoviště v kotelně/tech. místnosti</t>
  </si>
  <si>
    <t>783_</t>
  </si>
  <si>
    <t>01_78_</t>
  </si>
  <si>
    <t>99</t>
  </si>
  <si>
    <t>7832251_2VD</t>
  </si>
  <si>
    <t>Mechanické očištění povrchu St2/St3 + odmaštění (celý rozsah R+S)</t>
  </si>
  <si>
    <t>100</t>
  </si>
  <si>
    <t>7832251_3VD</t>
  </si>
  <si>
    <t>Lokální tryskání povrchu Sa 21 (silně zkorodovaná místa)</t>
  </si>
  <si>
    <t>101</t>
  </si>
  <si>
    <t>7832251_4VD</t>
  </si>
  <si>
    <t>Nátěr – epoxidový antikorozní primer 2× (DFT celkem ? 120 µm)</t>
  </si>
  <si>
    <t>102</t>
  </si>
  <si>
    <t>7832251_5VD</t>
  </si>
  <si>
    <t>Nátěr – polyuretanový email 1× (DFT ? 60 µm)</t>
  </si>
  <si>
    <t>103</t>
  </si>
  <si>
    <t>7832251_6VD</t>
  </si>
  <si>
    <t>Kontrola tloušťky DFT (min. 180 µm), drobné retuše, protokol</t>
  </si>
  <si>
    <t>104</t>
  </si>
  <si>
    <t>7832251_7VD</t>
  </si>
  <si>
    <t>Úklid, likvidace odpadu, ochrana okolních zařízení</t>
  </si>
  <si>
    <t>Různé dokončovací konstrukce a práce na pozemních stavbách</t>
  </si>
  <si>
    <t>105</t>
  </si>
  <si>
    <t>952902110R00</t>
  </si>
  <si>
    <t>Zametání v místnostech, chodbách, na  schodišti a na půdách</t>
  </si>
  <si>
    <t>95_</t>
  </si>
  <si>
    <t>01_9_</t>
  </si>
  <si>
    <t>M22</t>
  </si>
  <si>
    <t>Montáže sdělovací a zabezpečovací techniky</t>
  </si>
  <si>
    <t>106</t>
  </si>
  <si>
    <t>222619131R00</t>
  </si>
  <si>
    <t>Topná zkouška (72 hod), protokol o uskutečnění TZ, grafy</t>
  </si>
  <si>
    <t>M22_</t>
  </si>
  <si>
    <t>Ostatní položky práce</t>
  </si>
  <si>
    <t>107</t>
  </si>
  <si>
    <t>V7990008IM</t>
  </si>
  <si>
    <t>Zaškolení obsluhy</t>
  </si>
  <si>
    <t>hod</t>
  </si>
  <si>
    <t>RTS I / 2024</t>
  </si>
  <si>
    <t>Z88888_</t>
  </si>
  <si>
    <t>01_Z_</t>
  </si>
  <si>
    <t>108</t>
  </si>
  <si>
    <t>V990001IM</t>
  </si>
  <si>
    <t>Proplach systému</t>
  </si>
  <si>
    <t>109</t>
  </si>
  <si>
    <t>V990002IM</t>
  </si>
  <si>
    <t>Napuštění vody do systému</t>
  </si>
  <si>
    <t>110</t>
  </si>
  <si>
    <t>V990004IM</t>
  </si>
  <si>
    <t>Odvzdušnění otopné soustavy</t>
  </si>
  <si>
    <t>111</t>
  </si>
  <si>
    <t>V0050001IM</t>
  </si>
  <si>
    <t>Mimostaveništní doprava</t>
  </si>
  <si>
    <t>VORN</t>
  </si>
  <si>
    <t>Vedlejší a ostatní rozpočtové náklady</t>
  </si>
  <si>
    <t>005</t>
  </si>
  <si>
    <t>112</t>
  </si>
  <si>
    <t>10104VRNVD</t>
  </si>
  <si>
    <t>Provozní vlivy</t>
  </si>
  <si>
    <t>005_</t>
  </si>
  <si>
    <t>01_Â _</t>
  </si>
  <si>
    <t>113</t>
  </si>
  <si>
    <t>10105VRNVD</t>
  </si>
  <si>
    <t>Provoz objednatele</t>
  </si>
  <si>
    <t>114</t>
  </si>
  <si>
    <t>10107VRNVD</t>
  </si>
  <si>
    <t>Zkoušky a revize</t>
  </si>
  <si>
    <t>115</t>
  </si>
  <si>
    <t>10108VRNVD</t>
  </si>
  <si>
    <t>Provozní řády</t>
  </si>
  <si>
    <t>116</t>
  </si>
  <si>
    <t>10103VRNVD</t>
  </si>
  <si>
    <t>Požární hlídka po dokončení svařovacích prací včetně dodávky požárních prvků</t>
  </si>
  <si>
    <t>117</t>
  </si>
  <si>
    <t>Oprava ohřevu TV v provozní budově</t>
  </si>
  <si>
    <t>02</t>
  </si>
  <si>
    <t>118</t>
  </si>
  <si>
    <t>02_71_</t>
  </si>
  <si>
    <t>02_</t>
  </si>
  <si>
    <t>119</t>
  </si>
  <si>
    <t>120</t>
  </si>
  <si>
    <t>631547216</t>
  </si>
  <si>
    <t>Pouzdro potrubní izolační 42/40 mm (topná voda DN32 v provozní budově)</t>
  </si>
  <si>
    <t>M</t>
  </si>
  <si>
    <t>121</t>
  </si>
  <si>
    <t>631547215</t>
  </si>
  <si>
    <t>Pouzdro potrubní izolační 35/40 mm (topná voda DN25 v provozní budově)</t>
  </si>
  <si>
    <t>122</t>
  </si>
  <si>
    <t>722181215RU1</t>
  </si>
  <si>
    <t>Izolace návleková tl. stěny 25 mm, vnitřní průměr 32 mm (vodovod CIR od ohřívače, provozní budova)</t>
  </si>
  <si>
    <t>123</t>
  </si>
  <si>
    <t>722181213RV9</t>
  </si>
  <si>
    <t>Izolace návleková tl. stěny 13 mm, vnitřní průměr 40 mm (vodovod SV od ohřívače, provozní budova)</t>
  </si>
  <si>
    <t>124</t>
  </si>
  <si>
    <t>722181215RV9</t>
  </si>
  <si>
    <t>Izolace návleková tl. stěny 25 mm, vnitřní průměr 40 mm (vodovod TV od ohřívače, provozní budova)</t>
  </si>
  <si>
    <t>125</t>
  </si>
  <si>
    <t>126</t>
  </si>
  <si>
    <t>127</t>
  </si>
  <si>
    <t>722280106R00</t>
  </si>
  <si>
    <t>Tlaková zkouška vodovodního potrubí do DN 32 mm</t>
  </si>
  <si>
    <t>02_72_</t>
  </si>
  <si>
    <t>128</t>
  </si>
  <si>
    <t>722178714R00</t>
  </si>
  <si>
    <t>Potrubí vícevrstvé vodovodní,Wavin Basalt Plus, polyfuzně svařené, D 40 x 5,5 mm</t>
  </si>
  <si>
    <t>129</t>
  </si>
  <si>
    <t>722178711R00</t>
  </si>
  <si>
    <t>Potrubí vícevrstvé vodovodní,Wavin Basalt Plus, polyfuzně svařené, D 20 x 2,8 mm</t>
  </si>
  <si>
    <t>130</t>
  </si>
  <si>
    <t>722290234R00</t>
  </si>
  <si>
    <t>Proplach a dezinfekce vodovodního potrubí do DN 80 mm</t>
  </si>
  <si>
    <t>131</t>
  </si>
  <si>
    <t>722235111R00</t>
  </si>
  <si>
    <t>Kohout vodovodní, kulový, DN 15, včetně montáže</t>
  </si>
  <si>
    <t>132</t>
  </si>
  <si>
    <t>722235114R00</t>
  </si>
  <si>
    <t>Kohout vodovodní, kulový, DN 32, včetně montáže</t>
  </si>
  <si>
    <t>133</t>
  </si>
  <si>
    <t>722235644R00</t>
  </si>
  <si>
    <t>Klapka vodovodní, zpětná, vodorovná, DN32</t>
  </si>
  <si>
    <t>134</t>
  </si>
  <si>
    <t>722235521R00</t>
  </si>
  <si>
    <t>Filtr, vodovodní, vnitřní-vnitřní závit, DN15</t>
  </si>
  <si>
    <t>135</t>
  </si>
  <si>
    <t>136</t>
  </si>
  <si>
    <t>137</t>
  </si>
  <si>
    <t>02_73_</t>
  </si>
  <si>
    <t>138</t>
  </si>
  <si>
    <t>731000003VD</t>
  </si>
  <si>
    <t>Hydraulický vyrovnávač dynamických tlaků – REFLEX SINUS HVDT 120/80, R 2", Qmax 8 m3/h (4205684)</t>
  </si>
  <si>
    <t>139</t>
  </si>
  <si>
    <t>731300000008VD</t>
  </si>
  <si>
    <t>Izolace hydraulického vyrovnávače dynamických tlaků, včetně montáže</t>
  </si>
  <si>
    <t>140</t>
  </si>
  <si>
    <t>731000005VD</t>
  </si>
  <si>
    <t>Elektropohon – ESBE ARA661</t>
  </si>
  <si>
    <t>141</t>
  </si>
  <si>
    <t>7310000015VD</t>
  </si>
  <si>
    <t>Oběhové čerpadlo QMAX = 2,7 m3/h, HMAX = 4,0 m, P1 = 3–21 W, 1×220–240 V / 50–60 Hz, – GRUNDFOS ALPHA2 GO 25-40 180</t>
  </si>
  <si>
    <t>142</t>
  </si>
  <si>
    <t>731000006VD</t>
  </si>
  <si>
    <t>Ohřívač TUV – ACV SMART 160 (V=161 l; typ „Smart 160“)</t>
  </si>
  <si>
    <t>143</t>
  </si>
  <si>
    <t>728311124R00</t>
  </si>
  <si>
    <t>Montáž ohřívače kruhového nad d 600 mm</t>
  </si>
  <si>
    <t>144</t>
  </si>
  <si>
    <t>731000004VD</t>
  </si>
  <si>
    <t>Expanzní nádoba TUV  – REFLEX REFIX DD 8/10, G 3/4", 10 bar (7308000)</t>
  </si>
  <si>
    <t>145</t>
  </si>
  <si>
    <t>732212815R00</t>
  </si>
  <si>
    <t>Demontáž ohříváků zásobníkových stojat. 200l</t>
  </si>
  <si>
    <t>146</t>
  </si>
  <si>
    <t>147</t>
  </si>
  <si>
    <t>148</t>
  </si>
  <si>
    <t>732420811R00</t>
  </si>
  <si>
    <t>Demontáž čerpadel oběhových spirálních DN 25</t>
  </si>
  <si>
    <t>149</t>
  </si>
  <si>
    <t>732221811R00</t>
  </si>
  <si>
    <t>Demontáž anuloidu</t>
  </si>
  <si>
    <t>150</t>
  </si>
  <si>
    <t>Potrubí hladké bezešvé DN32</t>
  </si>
  <si>
    <t>151</t>
  </si>
  <si>
    <t>733121214R00</t>
  </si>
  <si>
    <t>Potrubí hladké bezešvé DN25</t>
  </si>
  <si>
    <t>152</t>
  </si>
  <si>
    <t>Tlaková zkouška potrubí do DN 32</t>
  </si>
  <si>
    <t>153</t>
  </si>
  <si>
    <t>733123116R00</t>
  </si>
  <si>
    <t>Příplatek za zhotovení přípojek DN32</t>
  </si>
  <si>
    <t>154</t>
  </si>
  <si>
    <t>733123114R00</t>
  </si>
  <si>
    <t>Příplatek za zhotovení přípojek DN25</t>
  </si>
  <si>
    <t>155</t>
  </si>
  <si>
    <t>230170002R00IM</t>
  </si>
  <si>
    <t>156</t>
  </si>
  <si>
    <t>157</t>
  </si>
  <si>
    <t>158</t>
  </si>
  <si>
    <t>Kohout kulový DN32, včetně montáže</t>
  </si>
  <si>
    <t>159</t>
  </si>
  <si>
    <t>734245123R00</t>
  </si>
  <si>
    <t>Ventil zpětný DN25, včetně montáže</t>
  </si>
  <si>
    <t>160</t>
  </si>
  <si>
    <t>734213112R00</t>
  </si>
  <si>
    <t>Ventil automatický odvzdušňovací DN 15</t>
  </si>
  <si>
    <t>161</t>
  </si>
  <si>
    <t>734295213R00</t>
  </si>
  <si>
    <t>Filtr, vnitřní-vnitřní z. DN 25</t>
  </si>
  <si>
    <t>162</t>
  </si>
  <si>
    <t>734233123R00</t>
  </si>
  <si>
    <t>Kohout kulový DN25, včetně montáže</t>
  </si>
  <si>
    <t>163</t>
  </si>
  <si>
    <t>734295214R00</t>
  </si>
  <si>
    <t>Filtr, vnitřní-vnitřní z. DN 32</t>
  </si>
  <si>
    <t>164</t>
  </si>
  <si>
    <t>734413142R00</t>
  </si>
  <si>
    <t>Teploměr D 100 / dl.jímky 50 mm,  0-100°C</t>
  </si>
  <si>
    <t>165</t>
  </si>
  <si>
    <t>166</t>
  </si>
  <si>
    <t>734254123R00</t>
  </si>
  <si>
    <t>Ventil pojistný, pOT=8bar, včetně montáže</t>
  </si>
  <si>
    <t>167</t>
  </si>
  <si>
    <t>Ventil pojistný, pOT=3bar, včetně montáže</t>
  </si>
  <si>
    <t>168</t>
  </si>
  <si>
    <t>169</t>
  </si>
  <si>
    <t>722221112R00</t>
  </si>
  <si>
    <t>Kohout vypouštěcí kulový DN15 s páčkou M 1/2", PN 16, např. KE-271</t>
  </si>
  <si>
    <t>170</t>
  </si>
  <si>
    <t>734420811R00</t>
  </si>
  <si>
    <t>Demontáž tlakoměrů se spodním přípojením</t>
  </si>
  <si>
    <t>171</t>
  </si>
  <si>
    <t>734410851R00</t>
  </si>
  <si>
    <t>Demontáž teploměrů - jímky</t>
  </si>
  <si>
    <t>172</t>
  </si>
  <si>
    <t>734200814R00</t>
  </si>
  <si>
    <t>Demontáž armatur s 1závitem do G 2</t>
  </si>
  <si>
    <t>173</t>
  </si>
  <si>
    <t>734190814R00</t>
  </si>
  <si>
    <t>Rozpojení přírubového spoje DN 50</t>
  </si>
  <si>
    <t>174</t>
  </si>
  <si>
    <t>175</t>
  </si>
  <si>
    <t>767</t>
  </si>
  <si>
    <t>Konstrukce doplňkové stavební (zámečnické)</t>
  </si>
  <si>
    <t>176</t>
  </si>
  <si>
    <t>767995101R00</t>
  </si>
  <si>
    <t>Výroba a montáž kov. atypických konstr. do 5 kg</t>
  </si>
  <si>
    <t>kg</t>
  </si>
  <si>
    <t>767_</t>
  </si>
  <si>
    <t>02_76_</t>
  </si>
  <si>
    <t>177</t>
  </si>
  <si>
    <t>767000000001VD</t>
  </si>
  <si>
    <t>Dodávka uložení</t>
  </si>
  <si>
    <t>178</t>
  </si>
  <si>
    <t>767996802R00</t>
  </si>
  <si>
    <t>Demontáž atypických ocelových konstr. do 100 kg</t>
  </si>
  <si>
    <t>179</t>
  </si>
  <si>
    <t>783225100R00</t>
  </si>
  <si>
    <t>Nátěr syntetický kovových konstrukcí 2x + 1x email</t>
  </si>
  <si>
    <t>02_78_</t>
  </si>
  <si>
    <t>180</t>
  </si>
  <si>
    <t>783424740R00IM</t>
  </si>
  <si>
    <t>Nátěr syntetický potrubí do DN 50 mm základní</t>
  </si>
  <si>
    <t>181</t>
  </si>
  <si>
    <t>783424340R00</t>
  </si>
  <si>
    <t>Nátěr syntet. potrubí do DN 50 mm  Z+2x +1x email</t>
  </si>
  <si>
    <t>182</t>
  </si>
  <si>
    <t>952901111R00</t>
  </si>
  <si>
    <t>Vyčištění budov o výšce podlaží do 4 m</t>
  </si>
  <si>
    <t>02_9_</t>
  </si>
  <si>
    <t>183</t>
  </si>
  <si>
    <t>184</t>
  </si>
  <si>
    <t>02_Z_</t>
  </si>
  <si>
    <t>185</t>
  </si>
  <si>
    <t>186</t>
  </si>
  <si>
    <t>187</t>
  </si>
  <si>
    <t>188</t>
  </si>
  <si>
    <t>189</t>
  </si>
  <si>
    <t>02_Â _</t>
  </si>
  <si>
    <t>190</t>
  </si>
  <si>
    <t>191</t>
  </si>
  <si>
    <t>Celkem:</t>
  </si>
  <si>
    <t>Poznámka:</t>
  </si>
  <si>
    <t>Krycí list slepého rozpočtu</t>
  </si>
  <si>
    <t>IČO/DIČ:</t>
  </si>
  <si>
    <t>26932211/</t>
  </si>
  <si>
    <t>10752919/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</si>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</sst>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B1CDE2"/>
        <bgColor rgb="FFB1CDE2"/>
      </patternFill>
    </fill>
    <fill>
      <patternFill patternType="solid">
        <fgColor rgb="FFCC7ACC"/>
        <bgColor rgb="FFCC7ACC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4" fontId="8" fillId="2" borderId="16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5" xfId="0" applyFont="1" applyBorder="1" applyAlignment="1">
      <alignment horizontal="right" vertical="center"/>
    </xf>
    <xf numFmtId="4" fontId="2" fillId="0" borderId="3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4" fontId="8" fillId="0" borderId="36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3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33" xfId="0" applyFont="1" applyFill="1" applyBorder="1" applyAlignment="1" applyProtection="1">
      <alignment horizontal="left" vertical="center"/>
      <protection locked="0"/>
    </xf>
    <xf numFmtId="0" fontId="3" fillId="3" borderId="32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3" borderId="32" xfId="0" applyFont="1" applyFill="1" applyBorder="1" applyAlignment="1" applyProtection="1">
      <alignment horizontal="left" vertical="center"/>
      <protection locked="0"/>
    </xf>
    <xf numFmtId="4" fontId="2" fillId="2" borderId="3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4" fontId="2" fillId="4" borderId="32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right" vertical="center"/>
    </xf>
    <xf numFmtId="4" fontId="3" fillId="3" borderId="32" xfId="0" applyNumberFormat="1" applyFont="1" applyFill="1" applyBorder="1" applyAlignment="1" applyProtection="1">
      <alignment horizontal="right" vertical="center"/>
      <protection locked="0"/>
    </xf>
    <xf numFmtId="0" fontId="3" fillId="0" borderId="33" xfId="0" applyFont="1" applyBorder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2" fillId="5" borderId="32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 wrapText="1"/>
    </xf>
    <xf numFmtId="0" fontId="2" fillId="5" borderId="32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/>
    </xf>
    <xf numFmtId="4" fontId="2" fillId="5" borderId="32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right" vertical="center"/>
    </xf>
    <xf numFmtId="4" fontId="3" fillId="3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4" fontId="2" fillId="0" borderId="32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9" fillId="0" borderId="16" xfId="0" applyFont="1" applyBorder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" fontId="9" fillId="0" borderId="33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3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4" fontId="8" fillId="2" borderId="14" xfId="0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4" fontId="3" fillId="0" borderId="16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33"/>
  <sheetViews>
    <sheetView tabSelected="1" workbookViewId="0">
      <pane ySplit="11" topLeftCell="A124" activePane="bottomLeft" state="frozen"/>
      <selection pane="bottomLeft" activeCell="G40" sqref="G40"/>
    </sheetView>
  </sheetViews>
  <sheetFormatPr defaultColWidth="12.140625" defaultRowHeight="15" customHeight="1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>
      <c r="A2" s="36" t="s">
        <v>1</v>
      </c>
      <c r="B2" s="37"/>
      <c r="C2" s="41" t="s">
        <v>2</v>
      </c>
      <c r="D2" s="42"/>
      <c r="E2" s="37" t="s">
        <v>3</v>
      </c>
      <c r="F2" s="37"/>
      <c r="G2" s="75" t="s">
        <v>4</v>
      </c>
      <c r="H2" s="39" t="s">
        <v>5</v>
      </c>
      <c r="I2" s="39" t="s">
        <v>6</v>
      </c>
      <c r="J2" s="37"/>
      <c r="K2" s="44"/>
    </row>
    <row r="3" spans="1:76">
      <c r="A3" s="69"/>
      <c r="B3" s="38"/>
      <c r="C3" s="43"/>
      <c r="D3" s="43"/>
      <c r="E3" s="38"/>
      <c r="F3" s="38"/>
      <c r="G3" s="76"/>
      <c r="H3" s="38"/>
      <c r="I3" s="38"/>
      <c r="J3" s="38"/>
      <c r="K3" s="77"/>
    </row>
    <row r="4" spans="1:76">
      <c r="A4" s="78" t="s">
        <v>7</v>
      </c>
      <c r="B4" s="38"/>
      <c r="C4" s="40" t="s">
        <v>8</v>
      </c>
      <c r="D4" s="38"/>
      <c r="E4" s="38" t="s">
        <v>9</v>
      </c>
      <c r="F4" s="38"/>
      <c r="G4" s="76" t="s">
        <v>10</v>
      </c>
      <c r="H4" s="40" t="s">
        <v>11</v>
      </c>
      <c r="I4" s="40" t="s">
        <v>12</v>
      </c>
      <c r="J4" s="38"/>
      <c r="K4" s="77"/>
    </row>
    <row r="5" spans="1:76">
      <c r="A5" s="69"/>
      <c r="B5" s="38"/>
      <c r="C5" s="38"/>
      <c r="D5" s="38"/>
      <c r="E5" s="38"/>
      <c r="F5" s="38"/>
      <c r="G5" s="76"/>
      <c r="H5" s="38"/>
      <c r="I5" s="38"/>
      <c r="J5" s="38"/>
      <c r="K5" s="77"/>
    </row>
    <row r="6" spans="1:76">
      <c r="A6" s="78" t="s">
        <v>13</v>
      </c>
      <c r="B6" s="38"/>
      <c r="C6" s="40" t="s">
        <v>14</v>
      </c>
      <c r="D6" s="38"/>
      <c r="E6" s="38" t="s">
        <v>15</v>
      </c>
      <c r="F6" s="38"/>
      <c r="G6" s="76" t="s">
        <v>4</v>
      </c>
      <c r="H6" s="40" t="s">
        <v>16</v>
      </c>
      <c r="I6" s="79" t="s">
        <v>17</v>
      </c>
      <c r="J6" s="76"/>
      <c r="K6" s="80"/>
    </row>
    <row r="7" spans="1:76">
      <c r="A7" s="69"/>
      <c r="B7" s="38"/>
      <c r="C7" s="38"/>
      <c r="D7" s="38"/>
      <c r="E7" s="38"/>
      <c r="F7" s="38"/>
      <c r="G7" s="76"/>
      <c r="H7" s="38"/>
      <c r="I7" s="76"/>
      <c r="J7" s="76"/>
      <c r="K7" s="80"/>
    </row>
    <row r="8" spans="1:76">
      <c r="A8" s="78" t="s">
        <v>18</v>
      </c>
      <c r="B8" s="38"/>
      <c r="C8" s="40" t="s">
        <v>4</v>
      </c>
      <c r="D8" s="38"/>
      <c r="E8" s="38" t="s">
        <v>19</v>
      </c>
      <c r="F8" s="38"/>
      <c r="G8" s="76" t="s">
        <v>20</v>
      </c>
      <c r="H8" s="40" t="s">
        <v>21</v>
      </c>
      <c r="I8" s="76" t="s">
        <v>22</v>
      </c>
      <c r="J8" s="76"/>
      <c r="K8" s="80"/>
    </row>
    <row r="9" spans="1:76">
      <c r="A9" s="69"/>
      <c r="B9" s="70"/>
      <c r="C9" s="70"/>
      <c r="D9" s="70"/>
      <c r="E9" s="70"/>
      <c r="F9" s="70"/>
      <c r="G9" s="81"/>
      <c r="H9" s="70"/>
      <c r="I9" s="81"/>
      <c r="J9" s="81"/>
      <c r="K9" s="80"/>
    </row>
    <row r="10" spans="1:76">
      <c r="A10" s="4" t="s">
        <v>23</v>
      </c>
      <c r="B10" s="82" t="s">
        <v>24</v>
      </c>
      <c r="C10" s="83" t="s">
        <v>25</v>
      </c>
      <c r="D10" s="84"/>
      <c r="E10" s="82" t="s">
        <v>26</v>
      </c>
      <c r="F10" s="5" t="s">
        <v>27</v>
      </c>
      <c r="G10" s="85" t="s">
        <v>28</v>
      </c>
      <c r="H10" s="45" t="s">
        <v>29</v>
      </c>
      <c r="I10" s="46"/>
      <c r="J10" s="86"/>
      <c r="K10" s="5" t="s">
        <v>30</v>
      </c>
      <c r="BK10" s="6" t="s">
        <v>31</v>
      </c>
      <c r="BL10" s="7" t="s">
        <v>32</v>
      </c>
      <c r="BW10" s="7" t="s">
        <v>33</v>
      </c>
    </row>
    <row r="11" spans="1:76">
      <c r="A11" s="8" t="s">
        <v>4</v>
      </c>
      <c r="B11" s="87" t="s">
        <v>4</v>
      </c>
      <c r="C11" s="88" t="s">
        <v>34</v>
      </c>
      <c r="D11" s="89"/>
      <c r="E11" s="87" t="s">
        <v>4</v>
      </c>
      <c r="F11" s="87" t="s">
        <v>4</v>
      </c>
      <c r="G11" s="90" t="s">
        <v>35</v>
      </c>
      <c r="H11" s="9" t="s">
        <v>36</v>
      </c>
      <c r="I11" s="10" t="s">
        <v>37</v>
      </c>
      <c r="J11" s="91" t="s">
        <v>38</v>
      </c>
      <c r="K11" s="10" t="s">
        <v>39</v>
      </c>
      <c r="Z11" s="6" t="s">
        <v>40</v>
      </c>
      <c r="AA11" s="6" t="s">
        <v>41</v>
      </c>
      <c r="AB11" s="6" t="s">
        <v>42</v>
      </c>
      <c r="AC11" s="6" t="s">
        <v>43</v>
      </c>
      <c r="AD11" s="6" t="s">
        <v>44</v>
      </c>
      <c r="AE11" s="6" t="s">
        <v>45</v>
      </c>
      <c r="AF11" s="6" t="s">
        <v>46</v>
      </c>
      <c r="AG11" s="6" t="s">
        <v>47</v>
      </c>
      <c r="AH11" s="6" t="s">
        <v>48</v>
      </c>
      <c r="BH11" s="6" t="s">
        <v>49</v>
      </c>
      <c r="BI11" s="6" t="s">
        <v>50</v>
      </c>
      <c r="BJ11" s="6" t="s">
        <v>51</v>
      </c>
    </row>
    <row r="12" spans="1:76">
      <c r="A12" s="92" t="s">
        <v>52</v>
      </c>
      <c r="B12" s="93" t="s">
        <v>52</v>
      </c>
      <c r="C12" s="94" t="s">
        <v>53</v>
      </c>
      <c r="D12" s="95"/>
      <c r="E12" s="96" t="s">
        <v>4</v>
      </c>
      <c r="F12" s="96" t="s">
        <v>4</v>
      </c>
      <c r="G12" s="97" t="s">
        <v>4</v>
      </c>
      <c r="H12" s="98">
        <f>H13+H28+H35+H42+H50+H74+H95+H106+H118+H126+H128+H130+H137</f>
        <v>0</v>
      </c>
      <c r="I12" s="98">
        <f>I13+I28+I35+I42+I50+I74+I95+I106+I118+I126+I128+I130+I137</f>
        <v>0</v>
      </c>
      <c r="J12" s="98">
        <f>J13+J28+J35+J42+J50+J74+J95+J106+J118+J126+J128+J130+J137</f>
        <v>0</v>
      </c>
      <c r="K12" s="99" t="s">
        <v>52</v>
      </c>
    </row>
    <row r="13" spans="1:76">
      <c r="A13" s="13" t="s">
        <v>52</v>
      </c>
      <c r="B13" s="100" t="s">
        <v>54</v>
      </c>
      <c r="C13" s="101" t="s">
        <v>55</v>
      </c>
      <c r="D13" s="102"/>
      <c r="E13" s="103" t="s">
        <v>4</v>
      </c>
      <c r="F13" s="103" t="s">
        <v>4</v>
      </c>
      <c r="G13" s="97" t="s">
        <v>4</v>
      </c>
      <c r="H13" s="104">
        <f>SUM(H14:H27)</f>
        <v>0</v>
      </c>
      <c r="I13" s="104">
        <f>SUM(I14:I27)</f>
        <v>0</v>
      </c>
      <c r="J13" s="104">
        <f>SUM(J14:J27)</f>
        <v>0</v>
      </c>
      <c r="K13" s="14" t="s">
        <v>52</v>
      </c>
      <c r="AI13" s="6" t="s">
        <v>56</v>
      </c>
      <c r="AS13" s="1">
        <f>SUM(AJ14:AJ27)</f>
        <v>0</v>
      </c>
      <c r="AT13" s="1">
        <f>SUM(AK14:AK27)</f>
        <v>0</v>
      </c>
      <c r="AU13" s="1">
        <f>SUM(AL14:AL27)</f>
        <v>0</v>
      </c>
    </row>
    <row r="14" spans="1:76">
      <c r="A14" s="29" t="s">
        <v>57</v>
      </c>
      <c r="B14" s="30" t="s">
        <v>58</v>
      </c>
      <c r="C14" s="105" t="s">
        <v>59</v>
      </c>
      <c r="D14" s="70"/>
      <c r="E14" s="30" t="s">
        <v>60</v>
      </c>
      <c r="F14" s="106">
        <v>1</v>
      </c>
      <c r="G14" s="107">
        <v>0</v>
      </c>
      <c r="H14" s="106">
        <f>ROUND(F14*AO14,2)</f>
        <v>0</v>
      </c>
      <c r="I14" s="106">
        <f>ROUND(F14*AP14,2)</f>
        <v>0</v>
      </c>
      <c r="J14" s="106">
        <f>ROUND(F14*G14,2)</f>
        <v>0</v>
      </c>
      <c r="K14" s="108" t="s">
        <v>52</v>
      </c>
      <c r="Z14" s="11">
        <f>ROUND(IF(AQ14="5",BJ14,0),2)</f>
        <v>0</v>
      </c>
      <c r="AB14" s="11">
        <f>ROUND(IF(AQ14="1",BH14,0),2)</f>
        <v>0</v>
      </c>
      <c r="AC14" s="11">
        <f>ROUND(IF(AQ14="1",BI14,0),2)</f>
        <v>0</v>
      </c>
      <c r="AD14" s="11">
        <f>ROUND(IF(AQ14="7",BH14,0),2)</f>
        <v>0</v>
      </c>
      <c r="AE14" s="11">
        <f>ROUND(IF(AQ14="7",BI14,0),2)</f>
        <v>0</v>
      </c>
      <c r="AF14" s="11">
        <f>ROUND(IF(AQ14="2",BH14,0),2)</f>
        <v>0</v>
      </c>
      <c r="AG14" s="11">
        <f>ROUND(IF(AQ14="2",BI14,0),2)</f>
        <v>0</v>
      </c>
      <c r="AH14" s="11">
        <f>ROUND(IF(AQ14="0",BJ14,0),2)</f>
        <v>0</v>
      </c>
      <c r="AI14" s="6" t="s">
        <v>56</v>
      </c>
      <c r="AJ14" s="11">
        <f>IF(AN14=0,J14,0)</f>
        <v>0</v>
      </c>
      <c r="AK14" s="11">
        <f>IF(AN14=12,J14,0)</f>
        <v>0</v>
      </c>
      <c r="AL14" s="11">
        <f>IF(AN14=21,J14,0)</f>
        <v>0</v>
      </c>
      <c r="AN14" s="11">
        <v>21</v>
      </c>
      <c r="AO14" s="11">
        <f>G14*0</f>
        <v>0</v>
      </c>
      <c r="AP14" s="11">
        <f>G14*(1-0)</f>
        <v>0</v>
      </c>
      <c r="AQ14" s="12" t="s">
        <v>57</v>
      </c>
      <c r="AV14" s="11">
        <f>ROUND(AW14+AX14,2)</f>
        <v>0</v>
      </c>
      <c r="AW14" s="11">
        <f>ROUND(F14*AO14,2)</f>
        <v>0</v>
      </c>
      <c r="AX14" s="11">
        <f>ROUND(F14*AP14,2)</f>
        <v>0</v>
      </c>
      <c r="AY14" s="12" t="s">
        <v>61</v>
      </c>
      <c r="AZ14" s="12" t="s">
        <v>62</v>
      </c>
      <c r="BA14" s="6" t="s">
        <v>63</v>
      </c>
      <c r="BC14" s="11">
        <f>AW14+AX14</f>
        <v>0</v>
      </c>
      <c r="BD14" s="11">
        <f>G14/(100-BE14)*100</f>
        <v>0</v>
      </c>
      <c r="BE14" s="11">
        <v>0</v>
      </c>
      <c r="BF14" s="11">
        <f>14</f>
        <v>14</v>
      </c>
      <c r="BH14" s="11">
        <f>F14*AO14</f>
        <v>0</v>
      </c>
      <c r="BI14" s="11">
        <f>F14*AP14</f>
        <v>0</v>
      </c>
      <c r="BJ14" s="11">
        <f>F14*G14</f>
        <v>0</v>
      </c>
      <c r="BK14" s="12" t="s">
        <v>64</v>
      </c>
      <c r="BL14" s="11">
        <v>0</v>
      </c>
      <c r="BW14" s="11">
        <v>21</v>
      </c>
      <c r="BX14" s="3" t="s">
        <v>59</v>
      </c>
    </row>
    <row r="15" spans="1:76">
      <c r="A15" s="29" t="s">
        <v>65</v>
      </c>
      <c r="B15" s="2" t="s">
        <v>66</v>
      </c>
      <c r="C15" s="40" t="s">
        <v>67</v>
      </c>
      <c r="D15" s="38"/>
      <c r="E15" s="2" t="s">
        <v>60</v>
      </c>
      <c r="F15" s="11">
        <v>1</v>
      </c>
      <c r="G15" s="109">
        <v>0</v>
      </c>
      <c r="H15" s="11">
        <f>ROUND(F15*AO15,2)</f>
        <v>0</v>
      </c>
      <c r="I15" s="11">
        <f>ROUND(F15*AP15,2)</f>
        <v>0</v>
      </c>
      <c r="J15" s="11">
        <f>ROUND(F15*G15,2)</f>
        <v>0</v>
      </c>
      <c r="K15" s="108" t="s">
        <v>52</v>
      </c>
      <c r="Z15" s="11">
        <f>ROUND(IF(AQ15="5",BJ15,0),2)</f>
        <v>0</v>
      </c>
      <c r="AB15" s="11">
        <f>ROUND(IF(AQ15="1",BH15,0),2)</f>
        <v>0</v>
      </c>
      <c r="AC15" s="11">
        <f>ROUND(IF(AQ15="1",BI15,0),2)</f>
        <v>0</v>
      </c>
      <c r="AD15" s="11">
        <f>ROUND(IF(AQ15="7",BH15,0),2)</f>
        <v>0</v>
      </c>
      <c r="AE15" s="11">
        <f>ROUND(IF(AQ15="7",BI15,0),2)</f>
        <v>0</v>
      </c>
      <c r="AF15" s="11">
        <f>ROUND(IF(AQ15="2",BH15,0),2)</f>
        <v>0</v>
      </c>
      <c r="AG15" s="11">
        <f>ROUND(IF(AQ15="2",BI15,0),2)</f>
        <v>0</v>
      </c>
      <c r="AH15" s="11">
        <f>ROUND(IF(AQ15="0",BJ15,0),2)</f>
        <v>0</v>
      </c>
      <c r="AI15" s="6" t="s">
        <v>56</v>
      </c>
      <c r="AJ15" s="11">
        <f>IF(AN15=0,J15,0)</f>
        <v>0</v>
      </c>
      <c r="AK15" s="11">
        <f>IF(AN15=12,J15,0)</f>
        <v>0</v>
      </c>
      <c r="AL15" s="11">
        <f>IF(AN15=21,J15,0)</f>
        <v>0</v>
      </c>
      <c r="AN15" s="11">
        <v>21</v>
      </c>
      <c r="AO15" s="11">
        <f>G15*0</f>
        <v>0</v>
      </c>
      <c r="AP15" s="11">
        <f>G15*(1-0)</f>
        <v>0</v>
      </c>
      <c r="AQ15" s="12" t="s">
        <v>57</v>
      </c>
      <c r="AV15" s="11">
        <f>ROUND(AW15+AX15,2)</f>
        <v>0</v>
      </c>
      <c r="AW15" s="11">
        <f>ROUND(F15*AO15,2)</f>
        <v>0</v>
      </c>
      <c r="AX15" s="11">
        <f>ROUND(F15*AP15,2)</f>
        <v>0</v>
      </c>
      <c r="AY15" s="12" t="s">
        <v>61</v>
      </c>
      <c r="AZ15" s="12" t="s">
        <v>62</v>
      </c>
      <c r="BA15" s="6" t="s">
        <v>63</v>
      </c>
      <c r="BC15" s="11">
        <f>AW15+AX15</f>
        <v>0</v>
      </c>
      <c r="BD15" s="11">
        <f>G15/(100-BE15)*100</f>
        <v>0</v>
      </c>
      <c r="BE15" s="11">
        <v>0</v>
      </c>
      <c r="BF15" s="11">
        <f>15</f>
        <v>15</v>
      </c>
      <c r="BH15" s="11">
        <f>F15*AO15</f>
        <v>0</v>
      </c>
      <c r="BI15" s="11">
        <f>F15*AP15</f>
        <v>0</v>
      </c>
      <c r="BJ15" s="11">
        <f>F15*G15</f>
        <v>0</v>
      </c>
      <c r="BK15" s="12" t="s">
        <v>64</v>
      </c>
      <c r="BL15" s="11">
        <v>0</v>
      </c>
      <c r="BW15" s="11">
        <v>21</v>
      </c>
      <c r="BX15" s="3" t="s">
        <v>67</v>
      </c>
    </row>
    <row r="16" spans="1:76">
      <c r="A16" s="29" t="s">
        <v>68</v>
      </c>
      <c r="B16" s="2" t="s">
        <v>69</v>
      </c>
      <c r="C16" s="40" t="s">
        <v>70</v>
      </c>
      <c r="D16" s="38"/>
      <c r="E16" s="2" t="s">
        <v>60</v>
      </c>
      <c r="F16" s="11">
        <v>1</v>
      </c>
      <c r="G16" s="109">
        <v>0</v>
      </c>
      <c r="H16" s="11">
        <f>ROUND(F16*AO16,2)</f>
        <v>0</v>
      </c>
      <c r="I16" s="11">
        <f>ROUND(F16*AP16,2)</f>
        <v>0</v>
      </c>
      <c r="J16" s="11">
        <f>ROUND(F16*G16,2)</f>
        <v>0</v>
      </c>
      <c r="K16" s="108" t="s">
        <v>52</v>
      </c>
      <c r="Z16" s="11">
        <f>ROUND(IF(AQ16="5",BJ16,0),2)</f>
        <v>0</v>
      </c>
      <c r="AB16" s="11">
        <f>ROUND(IF(AQ16="1",BH16,0),2)</f>
        <v>0</v>
      </c>
      <c r="AC16" s="11">
        <f>ROUND(IF(AQ16="1",BI16,0),2)</f>
        <v>0</v>
      </c>
      <c r="AD16" s="11">
        <f>ROUND(IF(AQ16="7",BH16,0),2)</f>
        <v>0</v>
      </c>
      <c r="AE16" s="11">
        <f>ROUND(IF(AQ16="7",BI16,0),2)</f>
        <v>0</v>
      </c>
      <c r="AF16" s="11">
        <f>ROUND(IF(AQ16="2",BH16,0),2)</f>
        <v>0</v>
      </c>
      <c r="AG16" s="11">
        <f>ROUND(IF(AQ16="2",BI16,0),2)</f>
        <v>0</v>
      </c>
      <c r="AH16" s="11">
        <f>ROUND(IF(AQ16="0",BJ16,0),2)</f>
        <v>0</v>
      </c>
      <c r="AI16" s="6" t="s">
        <v>56</v>
      </c>
      <c r="AJ16" s="11">
        <f>IF(AN16=0,J16,0)</f>
        <v>0</v>
      </c>
      <c r="AK16" s="11">
        <f>IF(AN16=12,J16,0)</f>
        <v>0</v>
      </c>
      <c r="AL16" s="11">
        <f>IF(AN16=21,J16,0)</f>
        <v>0</v>
      </c>
      <c r="AN16" s="11">
        <v>21</v>
      </c>
      <c r="AO16" s="11">
        <f>G16*0</f>
        <v>0</v>
      </c>
      <c r="AP16" s="11">
        <f>G16*(1-0)</f>
        <v>0</v>
      </c>
      <c r="AQ16" s="12" t="s">
        <v>57</v>
      </c>
      <c r="AV16" s="11">
        <f>ROUND(AW16+AX16,2)</f>
        <v>0</v>
      </c>
      <c r="AW16" s="11">
        <f>ROUND(F16*AO16,2)</f>
        <v>0</v>
      </c>
      <c r="AX16" s="11">
        <f>ROUND(F16*AP16,2)</f>
        <v>0</v>
      </c>
      <c r="AY16" s="12" t="s">
        <v>61</v>
      </c>
      <c r="AZ16" s="12" t="s">
        <v>62</v>
      </c>
      <c r="BA16" s="6" t="s">
        <v>63</v>
      </c>
      <c r="BC16" s="11">
        <f>AW16+AX16</f>
        <v>0</v>
      </c>
      <c r="BD16" s="11">
        <f>G16/(100-BE16)*100</f>
        <v>0</v>
      </c>
      <c r="BE16" s="11">
        <v>0</v>
      </c>
      <c r="BF16" s="11">
        <f>16</f>
        <v>16</v>
      </c>
      <c r="BH16" s="11">
        <f>F16*AO16</f>
        <v>0</v>
      </c>
      <c r="BI16" s="11">
        <f>F16*AP16</f>
        <v>0</v>
      </c>
      <c r="BJ16" s="11">
        <f>F16*G16</f>
        <v>0</v>
      </c>
      <c r="BK16" s="12" t="s">
        <v>64</v>
      </c>
      <c r="BL16" s="11">
        <v>0</v>
      </c>
      <c r="BW16" s="11">
        <v>21</v>
      </c>
      <c r="BX16" s="3" t="s">
        <v>70</v>
      </c>
    </row>
    <row r="17" spans="1:76" ht="24.75">
      <c r="A17" s="29" t="s">
        <v>71</v>
      </c>
      <c r="B17" s="2" t="s">
        <v>72</v>
      </c>
      <c r="C17" s="40" t="s">
        <v>73</v>
      </c>
      <c r="D17" s="38"/>
      <c r="E17" s="2" t="s">
        <v>60</v>
      </c>
      <c r="F17" s="11">
        <v>1</v>
      </c>
      <c r="G17" s="109">
        <v>0</v>
      </c>
      <c r="H17" s="11">
        <f>ROUND(F17*AO17,2)</f>
        <v>0</v>
      </c>
      <c r="I17" s="11">
        <f>ROUND(F17*AP17,2)</f>
        <v>0</v>
      </c>
      <c r="J17" s="11">
        <f>ROUND(F17*G17,2)</f>
        <v>0</v>
      </c>
      <c r="K17" s="108" t="s">
        <v>52</v>
      </c>
      <c r="Z17" s="11">
        <f>ROUND(IF(AQ17="5",BJ17,0),2)</f>
        <v>0</v>
      </c>
      <c r="AB17" s="11">
        <f>ROUND(IF(AQ17="1",BH17,0),2)</f>
        <v>0</v>
      </c>
      <c r="AC17" s="11">
        <f>ROUND(IF(AQ17="1",BI17,0),2)</f>
        <v>0</v>
      </c>
      <c r="AD17" s="11">
        <f>ROUND(IF(AQ17="7",BH17,0),2)</f>
        <v>0</v>
      </c>
      <c r="AE17" s="11">
        <f>ROUND(IF(AQ17="7",BI17,0),2)</f>
        <v>0</v>
      </c>
      <c r="AF17" s="11">
        <f>ROUND(IF(AQ17="2",BH17,0),2)</f>
        <v>0</v>
      </c>
      <c r="AG17" s="11">
        <f>ROUND(IF(AQ17="2",BI17,0),2)</f>
        <v>0</v>
      </c>
      <c r="AH17" s="11">
        <f>ROUND(IF(AQ17="0",BJ17,0),2)</f>
        <v>0</v>
      </c>
      <c r="AI17" s="6" t="s">
        <v>56</v>
      </c>
      <c r="AJ17" s="11">
        <f>IF(AN17=0,J17,0)</f>
        <v>0</v>
      </c>
      <c r="AK17" s="11">
        <f>IF(AN17=12,J17,0)</f>
        <v>0</v>
      </c>
      <c r="AL17" s="11">
        <f>IF(AN17=21,J17,0)</f>
        <v>0</v>
      </c>
      <c r="AN17" s="11">
        <v>21</v>
      </c>
      <c r="AO17" s="11">
        <f>G17*1</f>
        <v>0</v>
      </c>
      <c r="AP17" s="11">
        <f>G17*(1-1)</f>
        <v>0</v>
      </c>
      <c r="AQ17" s="12" t="s">
        <v>57</v>
      </c>
      <c r="AV17" s="11">
        <f>ROUND(AW17+AX17,2)</f>
        <v>0</v>
      </c>
      <c r="AW17" s="11">
        <f>ROUND(F17*AO17,2)</f>
        <v>0</v>
      </c>
      <c r="AX17" s="11">
        <f>ROUND(F17*AP17,2)</f>
        <v>0</v>
      </c>
      <c r="AY17" s="12" t="s">
        <v>61</v>
      </c>
      <c r="AZ17" s="12" t="s">
        <v>62</v>
      </c>
      <c r="BA17" s="6" t="s">
        <v>63</v>
      </c>
      <c r="BC17" s="11">
        <f>AW17+AX17</f>
        <v>0</v>
      </c>
      <c r="BD17" s="11">
        <f>G17/(100-BE17)*100</f>
        <v>0</v>
      </c>
      <c r="BE17" s="11">
        <v>0</v>
      </c>
      <c r="BF17" s="11">
        <f>17</f>
        <v>17</v>
      </c>
      <c r="BH17" s="11">
        <f>F17*AO17</f>
        <v>0</v>
      </c>
      <c r="BI17" s="11">
        <f>F17*AP17</f>
        <v>0</v>
      </c>
      <c r="BJ17" s="11">
        <f>F17*G17</f>
        <v>0</v>
      </c>
      <c r="BK17" s="12" t="s">
        <v>64</v>
      </c>
      <c r="BL17" s="11">
        <v>0</v>
      </c>
      <c r="BW17" s="11">
        <v>21</v>
      </c>
      <c r="BX17" s="3" t="s">
        <v>73</v>
      </c>
    </row>
    <row r="18" spans="1:76" ht="24.75">
      <c r="A18" s="29" t="s">
        <v>74</v>
      </c>
      <c r="B18" s="2" t="s">
        <v>75</v>
      </c>
      <c r="C18" s="40" t="s">
        <v>76</v>
      </c>
      <c r="D18" s="38"/>
      <c r="E18" s="2" t="s">
        <v>60</v>
      </c>
      <c r="F18" s="11">
        <v>1</v>
      </c>
      <c r="G18" s="109">
        <v>0</v>
      </c>
      <c r="H18" s="11">
        <f>ROUND(F18*AO18,2)</f>
        <v>0</v>
      </c>
      <c r="I18" s="11">
        <f>ROUND(F18*AP18,2)</f>
        <v>0</v>
      </c>
      <c r="J18" s="11">
        <f>ROUND(F18*G18,2)</f>
        <v>0</v>
      </c>
      <c r="K18" s="108" t="s">
        <v>52</v>
      </c>
      <c r="Z18" s="11">
        <f>ROUND(IF(AQ18="5",BJ18,0),2)</f>
        <v>0</v>
      </c>
      <c r="AB18" s="11">
        <f>ROUND(IF(AQ18="1",BH18,0),2)</f>
        <v>0</v>
      </c>
      <c r="AC18" s="11">
        <f>ROUND(IF(AQ18="1",BI18,0),2)</f>
        <v>0</v>
      </c>
      <c r="AD18" s="11">
        <f>ROUND(IF(AQ18="7",BH18,0),2)</f>
        <v>0</v>
      </c>
      <c r="AE18" s="11">
        <f>ROUND(IF(AQ18="7",BI18,0),2)</f>
        <v>0</v>
      </c>
      <c r="AF18" s="11">
        <f>ROUND(IF(AQ18="2",BH18,0),2)</f>
        <v>0</v>
      </c>
      <c r="AG18" s="11">
        <f>ROUND(IF(AQ18="2",BI18,0),2)</f>
        <v>0</v>
      </c>
      <c r="AH18" s="11">
        <f>ROUND(IF(AQ18="0",BJ18,0),2)</f>
        <v>0</v>
      </c>
      <c r="AI18" s="6" t="s">
        <v>56</v>
      </c>
      <c r="AJ18" s="11">
        <f>IF(AN18=0,J18,0)</f>
        <v>0</v>
      </c>
      <c r="AK18" s="11">
        <f>IF(AN18=12,J18,0)</f>
        <v>0</v>
      </c>
      <c r="AL18" s="11">
        <f>IF(AN18=21,J18,0)</f>
        <v>0</v>
      </c>
      <c r="AN18" s="11">
        <v>21</v>
      </c>
      <c r="AO18" s="11">
        <f>G18*1</f>
        <v>0</v>
      </c>
      <c r="AP18" s="11">
        <f>G18*(1-1)</f>
        <v>0</v>
      </c>
      <c r="AQ18" s="12" t="s">
        <v>57</v>
      </c>
      <c r="AV18" s="11">
        <f>ROUND(AW18+AX18,2)</f>
        <v>0</v>
      </c>
      <c r="AW18" s="11">
        <f>ROUND(F18*AO18,2)</f>
        <v>0</v>
      </c>
      <c r="AX18" s="11">
        <f>ROUND(F18*AP18,2)</f>
        <v>0</v>
      </c>
      <c r="AY18" s="12" t="s">
        <v>61</v>
      </c>
      <c r="AZ18" s="12" t="s">
        <v>62</v>
      </c>
      <c r="BA18" s="6" t="s">
        <v>63</v>
      </c>
      <c r="BC18" s="11">
        <f>AW18+AX18</f>
        <v>0</v>
      </c>
      <c r="BD18" s="11">
        <f>G18/(100-BE18)*100</f>
        <v>0</v>
      </c>
      <c r="BE18" s="11">
        <v>0</v>
      </c>
      <c r="BF18" s="11">
        <f>18</f>
        <v>18</v>
      </c>
      <c r="BH18" s="11">
        <f>F18*AO18</f>
        <v>0</v>
      </c>
      <c r="BI18" s="11">
        <f>F18*AP18</f>
        <v>0</v>
      </c>
      <c r="BJ18" s="11">
        <f>F18*G18</f>
        <v>0</v>
      </c>
      <c r="BK18" s="12" t="s">
        <v>64</v>
      </c>
      <c r="BL18" s="11">
        <v>0</v>
      </c>
      <c r="BW18" s="11">
        <v>21</v>
      </c>
      <c r="BX18" s="3" t="s">
        <v>76</v>
      </c>
    </row>
    <row r="19" spans="1:76" ht="24.75">
      <c r="A19" s="29" t="s">
        <v>77</v>
      </c>
      <c r="B19" s="2" t="s">
        <v>78</v>
      </c>
      <c r="C19" s="40" t="s">
        <v>79</v>
      </c>
      <c r="D19" s="38"/>
      <c r="E19" s="2" t="s">
        <v>80</v>
      </c>
      <c r="F19" s="11">
        <v>1</v>
      </c>
      <c r="G19" s="109">
        <v>0</v>
      </c>
      <c r="H19" s="11">
        <f>ROUND(F19*AO19,2)</f>
        <v>0</v>
      </c>
      <c r="I19" s="11">
        <f>ROUND(F19*AP19,2)</f>
        <v>0</v>
      </c>
      <c r="J19" s="11">
        <f>ROUND(F19*G19,2)</f>
        <v>0</v>
      </c>
      <c r="K19" s="108" t="s">
        <v>52</v>
      </c>
      <c r="Z19" s="11">
        <f>ROUND(IF(AQ19="5",BJ19,0),2)</f>
        <v>0</v>
      </c>
      <c r="AB19" s="11">
        <f>ROUND(IF(AQ19="1",BH19,0),2)</f>
        <v>0</v>
      </c>
      <c r="AC19" s="11">
        <f>ROUND(IF(AQ19="1",BI19,0),2)</f>
        <v>0</v>
      </c>
      <c r="AD19" s="11">
        <f>ROUND(IF(AQ19="7",BH19,0),2)</f>
        <v>0</v>
      </c>
      <c r="AE19" s="11">
        <f>ROUND(IF(AQ19="7",BI19,0),2)</f>
        <v>0</v>
      </c>
      <c r="AF19" s="11">
        <f>ROUND(IF(AQ19="2",BH19,0),2)</f>
        <v>0</v>
      </c>
      <c r="AG19" s="11">
        <f>ROUND(IF(AQ19="2",BI19,0),2)</f>
        <v>0</v>
      </c>
      <c r="AH19" s="11">
        <f>ROUND(IF(AQ19="0",BJ19,0),2)</f>
        <v>0</v>
      </c>
      <c r="AI19" s="6" t="s">
        <v>56</v>
      </c>
      <c r="AJ19" s="11">
        <f>IF(AN19=0,J19,0)</f>
        <v>0</v>
      </c>
      <c r="AK19" s="11">
        <f>IF(AN19=12,J19,0)</f>
        <v>0</v>
      </c>
      <c r="AL19" s="11">
        <f>IF(AN19=21,J19,0)</f>
        <v>0</v>
      </c>
      <c r="AN19" s="11">
        <v>21</v>
      </c>
      <c r="AO19" s="11">
        <f>G19*1</f>
        <v>0</v>
      </c>
      <c r="AP19" s="11">
        <f>G19*(1-1)</f>
        <v>0</v>
      </c>
      <c r="AQ19" s="12" t="s">
        <v>57</v>
      </c>
      <c r="AV19" s="11">
        <f>ROUND(AW19+AX19,2)</f>
        <v>0</v>
      </c>
      <c r="AW19" s="11">
        <f>ROUND(F19*AO19,2)</f>
        <v>0</v>
      </c>
      <c r="AX19" s="11">
        <f>ROUND(F19*AP19,2)</f>
        <v>0</v>
      </c>
      <c r="AY19" s="12" t="s">
        <v>61</v>
      </c>
      <c r="AZ19" s="12" t="s">
        <v>62</v>
      </c>
      <c r="BA19" s="6" t="s">
        <v>63</v>
      </c>
      <c r="BC19" s="11">
        <f>AW19+AX19</f>
        <v>0</v>
      </c>
      <c r="BD19" s="11">
        <f>G19/(100-BE19)*100</f>
        <v>0</v>
      </c>
      <c r="BE19" s="11">
        <v>0</v>
      </c>
      <c r="BF19" s="11">
        <f>19</f>
        <v>19</v>
      </c>
      <c r="BH19" s="11">
        <f>F19*AO19</f>
        <v>0</v>
      </c>
      <c r="BI19" s="11">
        <f>F19*AP19</f>
        <v>0</v>
      </c>
      <c r="BJ19" s="11">
        <f>F19*G19</f>
        <v>0</v>
      </c>
      <c r="BK19" s="12" t="s">
        <v>64</v>
      </c>
      <c r="BL19" s="11">
        <v>0</v>
      </c>
      <c r="BW19" s="11">
        <v>21</v>
      </c>
      <c r="BX19" s="3" t="s">
        <v>79</v>
      </c>
    </row>
    <row r="20" spans="1:76">
      <c r="A20" s="29" t="s">
        <v>81</v>
      </c>
      <c r="B20" s="2" t="s">
        <v>82</v>
      </c>
      <c r="C20" s="40" t="s">
        <v>83</v>
      </c>
      <c r="D20" s="38"/>
      <c r="E20" s="2" t="s">
        <v>60</v>
      </c>
      <c r="F20" s="11">
        <v>1</v>
      </c>
      <c r="G20" s="109">
        <v>0</v>
      </c>
      <c r="H20" s="11">
        <f>ROUND(F20*AO20,2)</f>
        <v>0</v>
      </c>
      <c r="I20" s="11">
        <f>ROUND(F20*AP20,2)</f>
        <v>0</v>
      </c>
      <c r="J20" s="11">
        <f>ROUND(F20*G20,2)</f>
        <v>0</v>
      </c>
      <c r="K20" s="108" t="s">
        <v>52</v>
      </c>
      <c r="Z20" s="11">
        <f>ROUND(IF(AQ20="5",BJ20,0),2)</f>
        <v>0</v>
      </c>
      <c r="AB20" s="11">
        <f>ROUND(IF(AQ20="1",BH20,0),2)</f>
        <v>0</v>
      </c>
      <c r="AC20" s="11">
        <f>ROUND(IF(AQ20="1",BI20,0),2)</f>
        <v>0</v>
      </c>
      <c r="AD20" s="11">
        <f>ROUND(IF(AQ20="7",BH20,0),2)</f>
        <v>0</v>
      </c>
      <c r="AE20" s="11">
        <f>ROUND(IF(AQ20="7",BI20,0),2)</f>
        <v>0</v>
      </c>
      <c r="AF20" s="11">
        <f>ROUND(IF(AQ20="2",BH20,0),2)</f>
        <v>0</v>
      </c>
      <c r="AG20" s="11">
        <f>ROUND(IF(AQ20="2",BI20,0),2)</f>
        <v>0</v>
      </c>
      <c r="AH20" s="11">
        <f>ROUND(IF(AQ20="0",BJ20,0),2)</f>
        <v>0</v>
      </c>
      <c r="AI20" s="6" t="s">
        <v>56</v>
      </c>
      <c r="AJ20" s="11">
        <f>IF(AN20=0,J20,0)</f>
        <v>0</v>
      </c>
      <c r="AK20" s="11">
        <f>IF(AN20=12,J20,0)</f>
        <v>0</v>
      </c>
      <c r="AL20" s="11">
        <f>IF(AN20=21,J20,0)</f>
        <v>0</v>
      </c>
      <c r="AN20" s="11">
        <v>21</v>
      </c>
      <c r="AO20" s="11">
        <f>G20*0</f>
        <v>0</v>
      </c>
      <c r="AP20" s="11">
        <f>G20*(1-0)</f>
        <v>0</v>
      </c>
      <c r="AQ20" s="12" t="s">
        <v>57</v>
      </c>
      <c r="AV20" s="11">
        <f>ROUND(AW20+AX20,2)</f>
        <v>0</v>
      </c>
      <c r="AW20" s="11">
        <f>ROUND(F20*AO20,2)</f>
        <v>0</v>
      </c>
      <c r="AX20" s="11">
        <f>ROUND(F20*AP20,2)</f>
        <v>0</v>
      </c>
      <c r="AY20" s="12" t="s">
        <v>61</v>
      </c>
      <c r="AZ20" s="12" t="s">
        <v>62</v>
      </c>
      <c r="BA20" s="6" t="s">
        <v>63</v>
      </c>
      <c r="BC20" s="11">
        <f>AW20+AX20</f>
        <v>0</v>
      </c>
      <c r="BD20" s="11">
        <f>G20/(100-BE20)*100</f>
        <v>0</v>
      </c>
      <c r="BE20" s="11">
        <v>0</v>
      </c>
      <c r="BF20" s="11">
        <f>20</f>
        <v>20</v>
      </c>
      <c r="BH20" s="11">
        <f>F20*AO20</f>
        <v>0</v>
      </c>
      <c r="BI20" s="11">
        <f>F20*AP20</f>
        <v>0</v>
      </c>
      <c r="BJ20" s="11">
        <f>F20*G20</f>
        <v>0</v>
      </c>
      <c r="BK20" s="12" t="s">
        <v>64</v>
      </c>
      <c r="BL20" s="11">
        <v>0</v>
      </c>
      <c r="BW20" s="11">
        <v>21</v>
      </c>
      <c r="BX20" s="3" t="s">
        <v>83</v>
      </c>
    </row>
    <row r="21" spans="1:76">
      <c r="A21" s="29" t="s">
        <v>84</v>
      </c>
      <c r="B21" s="2" t="s">
        <v>85</v>
      </c>
      <c r="C21" s="40" t="s">
        <v>86</v>
      </c>
      <c r="D21" s="38"/>
      <c r="E21" s="2" t="s">
        <v>60</v>
      </c>
      <c r="F21" s="11">
        <v>1</v>
      </c>
      <c r="G21" s="109">
        <v>0</v>
      </c>
      <c r="H21" s="11">
        <f>ROUND(F21*AO21,2)</f>
        <v>0</v>
      </c>
      <c r="I21" s="11">
        <f>ROUND(F21*AP21,2)</f>
        <v>0</v>
      </c>
      <c r="J21" s="11">
        <f>ROUND(F21*G21,2)</f>
        <v>0</v>
      </c>
      <c r="K21" s="108" t="s">
        <v>52</v>
      </c>
      <c r="Z21" s="11">
        <f>ROUND(IF(AQ21="5",BJ21,0),2)</f>
        <v>0</v>
      </c>
      <c r="AB21" s="11">
        <f>ROUND(IF(AQ21="1",BH21,0),2)</f>
        <v>0</v>
      </c>
      <c r="AC21" s="11">
        <f>ROUND(IF(AQ21="1",BI21,0),2)</f>
        <v>0</v>
      </c>
      <c r="AD21" s="11">
        <f>ROUND(IF(AQ21="7",BH21,0),2)</f>
        <v>0</v>
      </c>
      <c r="AE21" s="11">
        <f>ROUND(IF(AQ21="7",BI21,0),2)</f>
        <v>0</v>
      </c>
      <c r="AF21" s="11">
        <f>ROUND(IF(AQ21="2",BH21,0),2)</f>
        <v>0</v>
      </c>
      <c r="AG21" s="11">
        <f>ROUND(IF(AQ21="2",BI21,0),2)</f>
        <v>0</v>
      </c>
      <c r="AH21" s="11">
        <f>ROUND(IF(AQ21="0",BJ21,0),2)</f>
        <v>0</v>
      </c>
      <c r="AI21" s="6" t="s">
        <v>56</v>
      </c>
      <c r="AJ21" s="11">
        <f>IF(AN21=0,J21,0)</f>
        <v>0</v>
      </c>
      <c r="AK21" s="11">
        <f>IF(AN21=12,J21,0)</f>
        <v>0</v>
      </c>
      <c r="AL21" s="11">
        <f>IF(AN21=21,J21,0)</f>
        <v>0</v>
      </c>
      <c r="AN21" s="11">
        <v>21</v>
      </c>
      <c r="AO21" s="11">
        <f>G21*0</f>
        <v>0</v>
      </c>
      <c r="AP21" s="11">
        <f>G21*(1-0)</f>
        <v>0</v>
      </c>
      <c r="AQ21" s="12" t="s">
        <v>57</v>
      </c>
      <c r="AV21" s="11">
        <f>ROUND(AW21+AX21,2)</f>
        <v>0</v>
      </c>
      <c r="AW21" s="11">
        <f>ROUND(F21*AO21,2)</f>
        <v>0</v>
      </c>
      <c r="AX21" s="11">
        <f>ROUND(F21*AP21,2)</f>
        <v>0</v>
      </c>
      <c r="AY21" s="12" t="s">
        <v>61</v>
      </c>
      <c r="AZ21" s="12" t="s">
        <v>62</v>
      </c>
      <c r="BA21" s="6" t="s">
        <v>63</v>
      </c>
      <c r="BC21" s="11">
        <f>AW21+AX21</f>
        <v>0</v>
      </c>
      <c r="BD21" s="11">
        <f>G21/(100-BE21)*100</f>
        <v>0</v>
      </c>
      <c r="BE21" s="11">
        <v>0</v>
      </c>
      <c r="BF21" s="11">
        <f>21</f>
        <v>21</v>
      </c>
      <c r="BH21" s="11">
        <f>F21*AO21</f>
        <v>0</v>
      </c>
      <c r="BI21" s="11">
        <f>F21*AP21</f>
        <v>0</v>
      </c>
      <c r="BJ21" s="11">
        <f>F21*G21</f>
        <v>0</v>
      </c>
      <c r="BK21" s="12" t="s">
        <v>64</v>
      </c>
      <c r="BL21" s="11">
        <v>0</v>
      </c>
      <c r="BW21" s="11">
        <v>21</v>
      </c>
      <c r="BX21" s="3" t="s">
        <v>86</v>
      </c>
    </row>
    <row r="22" spans="1:76">
      <c r="A22" s="29" t="s">
        <v>87</v>
      </c>
      <c r="B22" s="2" t="s">
        <v>88</v>
      </c>
      <c r="C22" s="40" t="s">
        <v>89</v>
      </c>
      <c r="D22" s="38"/>
      <c r="E22" s="2" t="s">
        <v>60</v>
      </c>
      <c r="F22" s="11">
        <v>1</v>
      </c>
      <c r="G22" s="109">
        <v>0</v>
      </c>
      <c r="H22" s="11">
        <f>ROUND(F22*AO22,2)</f>
        <v>0</v>
      </c>
      <c r="I22" s="11">
        <f>ROUND(F22*AP22,2)</f>
        <v>0</v>
      </c>
      <c r="J22" s="11">
        <f>ROUND(F22*G22,2)</f>
        <v>0</v>
      </c>
      <c r="K22" s="108" t="s">
        <v>52</v>
      </c>
      <c r="Z22" s="11">
        <f>ROUND(IF(AQ22="5",BJ22,0),2)</f>
        <v>0</v>
      </c>
      <c r="AB22" s="11">
        <f>ROUND(IF(AQ22="1",BH22,0),2)</f>
        <v>0</v>
      </c>
      <c r="AC22" s="11">
        <f>ROUND(IF(AQ22="1",BI22,0),2)</f>
        <v>0</v>
      </c>
      <c r="AD22" s="11">
        <f>ROUND(IF(AQ22="7",BH22,0),2)</f>
        <v>0</v>
      </c>
      <c r="AE22" s="11">
        <f>ROUND(IF(AQ22="7",BI22,0),2)</f>
        <v>0</v>
      </c>
      <c r="AF22" s="11">
        <f>ROUND(IF(AQ22="2",BH22,0),2)</f>
        <v>0</v>
      </c>
      <c r="AG22" s="11">
        <f>ROUND(IF(AQ22="2",BI22,0),2)</f>
        <v>0</v>
      </c>
      <c r="AH22" s="11">
        <f>ROUND(IF(AQ22="0",BJ22,0),2)</f>
        <v>0</v>
      </c>
      <c r="AI22" s="6" t="s">
        <v>56</v>
      </c>
      <c r="AJ22" s="11">
        <f>IF(AN22=0,J22,0)</f>
        <v>0</v>
      </c>
      <c r="AK22" s="11">
        <f>IF(AN22=12,J22,0)</f>
        <v>0</v>
      </c>
      <c r="AL22" s="11">
        <f>IF(AN22=21,J22,0)</f>
        <v>0</v>
      </c>
      <c r="AN22" s="11">
        <v>21</v>
      </c>
      <c r="AO22" s="11">
        <f>G22*1</f>
        <v>0</v>
      </c>
      <c r="AP22" s="11">
        <f>G22*(1-1)</f>
        <v>0</v>
      </c>
      <c r="AQ22" s="12" t="s">
        <v>57</v>
      </c>
      <c r="AV22" s="11">
        <f>ROUND(AW22+AX22,2)</f>
        <v>0</v>
      </c>
      <c r="AW22" s="11">
        <f>ROUND(F22*AO22,2)</f>
        <v>0</v>
      </c>
      <c r="AX22" s="11">
        <f>ROUND(F22*AP22,2)</f>
        <v>0</v>
      </c>
      <c r="AY22" s="12" t="s">
        <v>61</v>
      </c>
      <c r="AZ22" s="12" t="s">
        <v>62</v>
      </c>
      <c r="BA22" s="6" t="s">
        <v>63</v>
      </c>
      <c r="BC22" s="11">
        <f>AW22+AX22</f>
        <v>0</v>
      </c>
      <c r="BD22" s="11">
        <f>G22/(100-BE22)*100</f>
        <v>0</v>
      </c>
      <c r="BE22" s="11">
        <v>0</v>
      </c>
      <c r="BF22" s="11">
        <f>22</f>
        <v>22</v>
      </c>
      <c r="BH22" s="11">
        <f>F22*AO22</f>
        <v>0</v>
      </c>
      <c r="BI22" s="11">
        <f>F22*AP22</f>
        <v>0</v>
      </c>
      <c r="BJ22" s="11">
        <f>F22*G22</f>
        <v>0</v>
      </c>
      <c r="BK22" s="12" t="s">
        <v>64</v>
      </c>
      <c r="BL22" s="11">
        <v>0</v>
      </c>
      <c r="BW22" s="11">
        <v>21</v>
      </c>
      <c r="BX22" s="3" t="s">
        <v>89</v>
      </c>
    </row>
    <row r="23" spans="1:76">
      <c r="A23" s="29" t="s">
        <v>90</v>
      </c>
      <c r="B23" s="2" t="s">
        <v>91</v>
      </c>
      <c r="C23" s="40" t="s">
        <v>92</v>
      </c>
      <c r="D23" s="38"/>
      <c r="E23" s="2" t="s">
        <v>80</v>
      </c>
      <c r="F23" s="11">
        <v>1</v>
      </c>
      <c r="G23" s="109">
        <v>0</v>
      </c>
      <c r="H23" s="11">
        <f>ROUND(F23*AO23,2)</f>
        <v>0</v>
      </c>
      <c r="I23" s="11">
        <f>ROUND(F23*AP23,2)</f>
        <v>0</v>
      </c>
      <c r="J23" s="11">
        <f>ROUND(F23*G23,2)</f>
        <v>0</v>
      </c>
      <c r="K23" s="108" t="s">
        <v>52</v>
      </c>
      <c r="Z23" s="11">
        <f>ROUND(IF(AQ23="5",BJ23,0),2)</f>
        <v>0</v>
      </c>
      <c r="AB23" s="11">
        <f>ROUND(IF(AQ23="1",BH23,0),2)</f>
        <v>0</v>
      </c>
      <c r="AC23" s="11">
        <f>ROUND(IF(AQ23="1",BI23,0),2)</f>
        <v>0</v>
      </c>
      <c r="AD23" s="11">
        <f>ROUND(IF(AQ23="7",BH23,0),2)</f>
        <v>0</v>
      </c>
      <c r="AE23" s="11">
        <f>ROUND(IF(AQ23="7",BI23,0),2)</f>
        <v>0</v>
      </c>
      <c r="AF23" s="11">
        <f>ROUND(IF(AQ23="2",BH23,0),2)</f>
        <v>0</v>
      </c>
      <c r="AG23" s="11">
        <f>ROUND(IF(AQ23="2",BI23,0),2)</f>
        <v>0</v>
      </c>
      <c r="AH23" s="11">
        <f>ROUND(IF(AQ23="0",BJ23,0),2)</f>
        <v>0</v>
      </c>
      <c r="AI23" s="6" t="s">
        <v>56</v>
      </c>
      <c r="AJ23" s="11">
        <f>IF(AN23=0,J23,0)</f>
        <v>0</v>
      </c>
      <c r="AK23" s="11">
        <f>IF(AN23=12,J23,0)</f>
        <v>0</v>
      </c>
      <c r="AL23" s="11">
        <f>IF(AN23=21,J23,0)</f>
        <v>0</v>
      </c>
      <c r="AN23" s="11">
        <v>21</v>
      </c>
      <c r="AO23" s="11">
        <f>G23*1</f>
        <v>0</v>
      </c>
      <c r="AP23" s="11">
        <f>G23*(1-1)</f>
        <v>0</v>
      </c>
      <c r="AQ23" s="12" t="s">
        <v>57</v>
      </c>
      <c r="AV23" s="11">
        <f>ROUND(AW23+AX23,2)</f>
        <v>0</v>
      </c>
      <c r="AW23" s="11">
        <f>ROUND(F23*AO23,2)</f>
        <v>0</v>
      </c>
      <c r="AX23" s="11">
        <f>ROUND(F23*AP23,2)</f>
        <v>0</v>
      </c>
      <c r="AY23" s="12" t="s">
        <v>61</v>
      </c>
      <c r="AZ23" s="12" t="s">
        <v>62</v>
      </c>
      <c r="BA23" s="6" t="s">
        <v>63</v>
      </c>
      <c r="BC23" s="11">
        <f>AW23+AX23</f>
        <v>0</v>
      </c>
      <c r="BD23" s="11">
        <f>G23/(100-BE23)*100</f>
        <v>0</v>
      </c>
      <c r="BE23" s="11">
        <v>0</v>
      </c>
      <c r="BF23" s="11">
        <f>23</f>
        <v>23</v>
      </c>
      <c r="BH23" s="11">
        <f>F23*AO23</f>
        <v>0</v>
      </c>
      <c r="BI23" s="11">
        <f>F23*AP23</f>
        <v>0</v>
      </c>
      <c r="BJ23" s="11">
        <f>F23*G23</f>
        <v>0</v>
      </c>
      <c r="BK23" s="12" t="s">
        <v>64</v>
      </c>
      <c r="BL23" s="11">
        <v>0</v>
      </c>
      <c r="BW23" s="11">
        <v>21</v>
      </c>
      <c r="BX23" s="3" t="s">
        <v>92</v>
      </c>
    </row>
    <row r="24" spans="1:76">
      <c r="A24" s="29" t="s">
        <v>93</v>
      </c>
      <c r="B24" s="2" t="s">
        <v>94</v>
      </c>
      <c r="C24" s="40" t="s">
        <v>95</v>
      </c>
      <c r="D24" s="38"/>
      <c r="E24" s="2" t="s">
        <v>60</v>
      </c>
      <c r="F24" s="11">
        <v>1</v>
      </c>
      <c r="G24" s="109">
        <v>0</v>
      </c>
      <c r="H24" s="11">
        <f>ROUND(F24*AO24,2)</f>
        <v>0</v>
      </c>
      <c r="I24" s="11">
        <f>ROUND(F24*AP24,2)</f>
        <v>0</v>
      </c>
      <c r="J24" s="11">
        <f>ROUND(F24*G24,2)</f>
        <v>0</v>
      </c>
      <c r="K24" s="108" t="s">
        <v>52</v>
      </c>
      <c r="Z24" s="11">
        <f>ROUND(IF(AQ24="5",BJ24,0),2)</f>
        <v>0</v>
      </c>
      <c r="AB24" s="11">
        <f>ROUND(IF(AQ24="1",BH24,0),2)</f>
        <v>0</v>
      </c>
      <c r="AC24" s="11">
        <f>ROUND(IF(AQ24="1",BI24,0),2)</f>
        <v>0</v>
      </c>
      <c r="AD24" s="11">
        <f>ROUND(IF(AQ24="7",BH24,0),2)</f>
        <v>0</v>
      </c>
      <c r="AE24" s="11">
        <f>ROUND(IF(AQ24="7",BI24,0),2)</f>
        <v>0</v>
      </c>
      <c r="AF24" s="11">
        <f>ROUND(IF(AQ24="2",BH24,0),2)</f>
        <v>0</v>
      </c>
      <c r="AG24" s="11">
        <f>ROUND(IF(AQ24="2",BI24,0),2)</f>
        <v>0</v>
      </c>
      <c r="AH24" s="11">
        <f>ROUND(IF(AQ24="0",BJ24,0),2)</f>
        <v>0</v>
      </c>
      <c r="AI24" s="6" t="s">
        <v>56</v>
      </c>
      <c r="AJ24" s="11">
        <f>IF(AN24=0,J24,0)</f>
        <v>0</v>
      </c>
      <c r="AK24" s="11">
        <f>IF(AN24=12,J24,0)</f>
        <v>0</v>
      </c>
      <c r="AL24" s="11">
        <f>IF(AN24=21,J24,0)</f>
        <v>0</v>
      </c>
      <c r="AN24" s="11">
        <v>21</v>
      </c>
      <c r="AO24" s="11">
        <f>G24*0</f>
        <v>0</v>
      </c>
      <c r="AP24" s="11">
        <f>G24*(1-0)</f>
        <v>0</v>
      </c>
      <c r="AQ24" s="12" t="s">
        <v>57</v>
      </c>
      <c r="AV24" s="11">
        <f>ROUND(AW24+AX24,2)</f>
        <v>0</v>
      </c>
      <c r="AW24" s="11">
        <f>ROUND(F24*AO24,2)</f>
        <v>0</v>
      </c>
      <c r="AX24" s="11">
        <f>ROUND(F24*AP24,2)</f>
        <v>0</v>
      </c>
      <c r="AY24" s="12" t="s">
        <v>61</v>
      </c>
      <c r="AZ24" s="12" t="s">
        <v>62</v>
      </c>
      <c r="BA24" s="6" t="s">
        <v>63</v>
      </c>
      <c r="BC24" s="11">
        <f>AW24+AX24</f>
        <v>0</v>
      </c>
      <c r="BD24" s="11">
        <f>G24/(100-BE24)*100</f>
        <v>0</v>
      </c>
      <c r="BE24" s="11">
        <v>0</v>
      </c>
      <c r="BF24" s="11">
        <f>24</f>
        <v>24</v>
      </c>
      <c r="BH24" s="11">
        <f>F24*AO24</f>
        <v>0</v>
      </c>
      <c r="BI24" s="11">
        <f>F24*AP24</f>
        <v>0</v>
      </c>
      <c r="BJ24" s="11">
        <f>F24*G24</f>
        <v>0</v>
      </c>
      <c r="BK24" s="12" t="s">
        <v>64</v>
      </c>
      <c r="BL24" s="11">
        <v>0</v>
      </c>
      <c r="BW24" s="11">
        <v>21</v>
      </c>
      <c r="BX24" s="3" t="s">
        <v>95</v>
      </c>
    </row>
    <row r="25" spans="1:76">
      <c r="A25" s="29" t="s">
        <v>96</v>
      </c>
      <c r="B25" s="2" t="s">
        <v>97</v>
      </c>
      <c r="C25" s="40" t="s">
        <v>98</v>
      </c>
      <c r="D25" s="38"/>
      <c r="E25" s="2" t="s">
        <v>60</v>
      </c>
      <c r="F25" s="11">
        <v>1</v>
      </c>
      <c r="G25" s="109">
        <v>0</v>
      </c>
      <c r="H25" s="11">
        <f>ROUND(F25*AO25,2)</f>
        <v>0</v>
      </c>
      <c r="I25" s="11">
        <f>ROUND(F25*AP25,2)</f>
        <v>0</v>
      </c>
      <c r="J25" s="11">
        <f>ROUND(F25*G25,2)</f>
        <v>0</v>
      </c>
      <c r="K25" s="108" t="s">
        <v>52</v>
      </c>
      <c r="Z25" s="11">
        <f>ROUND(IF(AQ25="5",BJ25,0),2)</f>
        <v>0</v>
      </c>
      <c r="AB25" s="11">
        <f>ROUND(IF(AQ25="1",BH25,0),2)</f>
        <v>0</v>
      </c>
      <c r="AC25" s="11">
        <f>ROUND(IF(AQ25="1",BI25,0),2)</f>
        <v>0</v>
      </c>
      <c r="AD25" s="11">
        <f>ROUND(IF(AQ25="7",BH25,0),2)</f>
        <v>0</v>
      </c>
      <c r="AE25" s="11">
        <f>ROUND(IF(AQ25="7",BI25,0),2)</f>
        <v>0</v>
      </c>
      <c r="AF25" s="11">
        <f>ROUND(IF(AQ25="2",BH25,0),2)</f>
        <v>0</v>
      </c>
      <c r="AG25" s="11">
        <f>ROUND(IF(AQ25="2",BI25,0),2)</f>
        <v>0</v>
      </c>
      <c r="AH25" s="11">
        <f>ROUND(IF(AQ25="0",BJ25,0),2)</f>
        <v>0</v>
      </c>
      <c r="AI25" s="6" t="s">
        <v>56</v>
      </c>
      <c r="AJ25" s="11">
        <f>IF(AN25=0,J25,0)</f>
        <v>0</v>
      </c>
      <c r="AK25" s="11">
        <f>IF(AN25=12,J25,0)</f>
        <v>0</v>
      </c>
      <c r="AL25" s="11">
        <f>IF(AN25=21,J25,0)</f>
        <v>0</v>
      </c>
      <c r="AN25" s="11">
        <v>21</v>
      </c>
      <c r="AO25" s="11">
        <f>G25*0</f>
        <v>0</v>
      </c>
      <c r="AP25" s="11">
        <f>G25*(1-0)</f>
        <v>0</v>
      </c>
      <c r="AQ25" s="12" t="s">
        <v>57</v>
      </c>
      <c r="AV25" s="11">
        <f>ROUND(AW25+AX25,2)</f>
        <v>0</v>
      </c>
      <c r="AW25" s="11">
        <f>ROUND(F25*AO25,2)</f>
        <v>0</v>
      </c>
      <c r="AX25" s="11">
        <f>ROUND(F25*AP25,2)</f>
        <v>0</v>
      </c>
      <c r="AY25" s="12" t="s">
        <v>61</v>
      </c>
      <c r="AZ25" s="12" t="s">
        <v>62</v>
      </c>
      <c r="BA25" s="6" t="s">
        <v>63</v>
      </c>
      <c r="BC25" s="11">
        <f>AW25+AX25</f>
        <v>0</v>
      </c>
      <c r="BD25" s="11">
        <f>G25/(100-BE25)*100</f>
        <v>0</v>
      </c>
      <c r="BE25" s="11">
        <v>0</v>
      </c>
      <c r="BF25" s="11">
        <f>25</f>
        <v>25</v>
      </c>
      <c r="BH25" s="11">
        <f>F25*AO25</f>
        <v>0</v>
      </c>
      <c r="BI25" s="11">
        <f>F25*AP25</f>
        <v>0</v>
      </c>
      <c r="BJ25" s="11">
        <f>F25*G25</f>
        <v>0</v>
      </c>
      <c r="BK25" s="12" t="s">
        <v>64</v>
      </c>
      <c r="BL25" s="11">
        <v>0</v>
      </c>
      <c r="BW25" s="11">
        <v>21</v>
      </c>
      <c r="BX25" s="3" t="s">
        <v>98</v>
      </c>
    </row>
    <row r="26" spans="1:76">
      <c r="A26" s="29" t="s">
        <v>99</v>
      </c>
      <c r="B26" s="2" t="s">
        <v>100</v>
      </c>
      <c r="C26" s="40" t="s">
        <v>101</v>
      </c>
      <c r="D26" s="38"/>
      <c r="E26" s="2" t="s">
        <v>60</v>
      </c>
      <c r="F26" s="11">
        <v>1</v>
      </c>
      <c r="G26" s="109">
        <v>0</v>
      </c>
      <c r="H26" s="11">
        <f>ROUND(F26*AO26,2)</f>
        <v>0</v>
      </c>
      <c r="I26" s="11">
        <f>ROUND(F26*AP26,2)</f>
        <v>0</v>
      </c>
      <c r="J26" s="11">
        <f>ROUND(F26*G26,2)</f>
        <v>0</v>
      </c>
      <c r="K26" s="108" t="s">
        <v>52</v>
      </c>
      <c r="Z26" s="11">
        <f>ROUND(IF(AQ26="5",BJ26,0),2)</f>
        <v>0</v>
      </c>
      <c r="AB26" s="11">
        <f>ROUND(IF(AQ26="1",BH26,0),2)</f>
        <v>0</v>
      </c>
      <c r="AC26" s="11">
        <f>ROUND(IF(AQ26="1",BI26,0),2)</f>
        <v>0</v>
      </c>
      <c r="AD26" s="11">
        <f>ROUND(IF(AQ26="7",BH26,0),2)</f>
        <v>0</v>
      </c>
      <c r="AE26" s="11">
        <f>ROUND(IF(AQ26="7",BI26,0),2)</f>
        <v>0</v>
      </c>
      <c r="AF26" s="11">
        <f>ROUND(IF(AQ26="2",BH26,0),2)</f>
        <v>0</v>
      </c>
      <c r="AG26" s="11">
        <f>ROUND(IF(AQ26="2",BI26,0),2)</f>
        <v>0</v>
      </c>
      <c r="AH26" s="11">
        <f>ROUND(IF(AQ26="0",BJ26,0),2)</f>
        <v>0</v>
      </c>
      <c r="AI26" s="6" t="s">
        <v>56</v>
      </c>
      <c r="AJ26" s="11">
        <f>IF(AN26=0,J26,0)</f>
        <v>0</v>
      </c>
      <c r="AK26" s="11">
        <f>IF(AN26=12,J26,0)</f>
        <v>0</v>
      </c>
      <c r="AL26" s="11">
        <f>IF(AN26=21,J26,0)</f>
        <v>0</v>
      </c>
      <c r="AN26" s="11">
        <v>21</v>
      </c>
      <c r="AO26" s="11">
        <f>G26*0</f>
        <v>0</v>
      </c>
      <c r="AP26" s="11">
        <f>G26*(1-0)</f>
        <v>0</v>
      </c>
      <c r="AQ26" s="12" t="s">
        <v>57</v>
      </c>
      <c r="AV26" s="11">
        <f>ROUND(AW26+AX26,2)</f>
        <v>0</v>
      </c>
      <c r="AW26" s="11">
        <f>ROUND(F26*AO26,2)</f>
        <v>0</v>
      </c>
      <c r="AX26" s="11">
        <f>ROUND(F26*AP26,2)</f>
        <v>0</v>
      </c>
      <c r="AY26" s="12" t="s">
        <v>61</v>
      </c>
      <c r="AZ26" s="12" t="s">
        <v>62</v>
      </c>
      <c r="BA26" s="6" t="s">
        <v>63</v>
      </c>
      <c r="BC26" s="11">
        <f>AW26+AX26</f>
        <v>0</v>
      </c>
      <c r="BD26" s="11">
        <f>G26/(100-BE26)*100</f>
        <v>0</v>
      </c>
      <c r="BE26" s="11">
        <v>0</v>
      </c>
      <c r="BF26" s="11">
        <f>26</f>
        <v>26</v>
      </c>
      <c r="BH26" s="11">
        <f>F26*AO26</f>
        <v>0</v>
      </c>
      <c r="BI26" s="11">
        <f>F26*AP26</f>
        <v>0</v>
      </c>
      <c r="BJ26" s="11">
        <f>F26*G26</f>
        <v>0</v>
      </c>
      <c r="BK26" s="12" t="s">
        <v>64</v>
      </c>
      <c r="BL26" s="11">
        <v>0</v>
      </c>
      <c r="BW26" s="11">
        <v>21</v>
      </c>
      <c r="BX26" s="3" t="s">
        <v>101</v>
      </c>
    </row>
    <row r="27" spans="1:76">
      <c r="A27" s="29" t="s">
        <v>102</v>
      </c>
      <c r="B27" s="30" t="s">
        <v>103</v>
      </c>
      <c r="C27" s="105" t="s">
        <v>104</v>
      </c>
      <c r="D27" s="70"/>
      <c r="E27" s="30" t="s">
        <v>60</v>
      </c>
      <c r="F27" s="106">
        <v>1</v>
      </c>
      <c r="G27" s="107">
        <v>0</v>
      </c>
      <c r="H27" s="106">
        <f>ROUND(F27*AO27,2)</f>
        <v>0</v>
      </c>
      <c r="I27" s="106">
        <f>ROUND(F27*AP27,2)</f>
        <v>0</v>
      </c>
      <c r="J27" s="106">
        <f>ROUND(F27*G27,2)</f>
        <v>0</v>
      </c>
      <c r="K27" s="108" t="s">
        <v>52</v>
      </c>
      <c r="Z27" s="11">
        <f>ROUND(IF(AQ27="5",BJ27,0),2)</f>
        <v>0</v>
      </c>
      <c r="AB27" s="11">
        <f>ROUND(IF(AQ27="1",BH27,0),2)</f>
        <v>0</v>
      </c>
      <c r="AC27" s="11">
        <f>ROUND(IF(AQ27="1",BI27,0),2)</f>
        <v>0</v>
      </c>
      <c r="AD27" s="11">
        <f>ROUND(IF(AQ27="7",BH27,0),2)</f>
        <v>0</v>
      </c>
      <c r="AE27" s="11">
        <f>ROUND(IF(AQ27="7",BI27,0),2)</f>
        <v>0</v>
      </c>
      <c r="AF27" s="11">
        <f>ROUND(IF(AQ27="2",BH27,0),2)</f>
        <v>0</v>
      </c>
      <c r="AG27" s="11">
        <f>ROUND(IF(AQ27="2",BI27,0),2)</f>
        <v>0</v>
      </c>
      <c r="AH27" s="11">
        <f>ROUND(IF(AQ27="0",BJ27,0),2)</f>
        <v>0</v>
      </c>
      <c r="AI27" s="6" t="s">
        <v>56</v>
      </c>
      <c r="AJ27" s="11">
        <f>IF(AN27=0,J27,0)</f>
        <v>0</v>
      </c>
      <c r="AK27" s="11">
        <f>IF(AN27=12,J27,0)</f>
        <v>0</v>
      </c>
      <c r="AL27" s="11">
        <f>IF(AN27=21,J27,0)</f>
        <v>0</v>
      </c>
      <c r="AN27" s="11">
        <v>21</v>
      </c>
      <c r="AO27" s="11">
        <f>G27*0</f>
        <v>0</v>
      </c>
      <c r="AP27" s="11">
        <f>G27*(1-0)</f>
        <v>0</v>
      </c>
      <c r="AQ27" s="12" t="s">
        <v>57</v>
      </c>
      <c r="AV27" s="11">
        <f>ROUND(AW27+AX27,2)</f>
        <v>0</v>
      </c>
      <c r="AW27" s="11">
        <f>ROUND(F27*AO27,2)</f>
        <v>0</v>
      </c>
      <c r="AX27" s="11">
        <f>ROUND(F27*AP27,2)</f>
        <v>0</v>
      </c>
      <c r="AY27" s="12" t="s">
        <v>61</v>
      </c>
      <c r="AZ27" s="12" t="s">
        <v>62</v>
      </c>
      <c r="BA27" s="6" t="s">
        <v>63</v>
      </c>
      <c r="BC27" s="11">
        <f>AW27+AX27</f>
        <v>0</v>
      </c>
      <c r="BD27" s="11">
        <f>G27/(100-BE27)*100</f>
        <v>0</v>
      </c>
      <c r="BE27" s="11">
        <v>0</v>
      </c>
      <c r="BF27" s="11">
        <f>27</f>
        <v>27</v>
      </c>
      <c r="BH27" s="11">
        <f>F27*AO27</f>
        <v>0</v>
      </c>
      <c r="BI27" s="11">
        <f>F27*AP27</f>
        <v>0</v>
      </c>
      <c r="BJ27" s="11">
        <f>F27*G27</f>
        <v>0</v>
      </c>
      <c r="BK27" s="12" t="s">
        <v>64</v>
      </c>
      <c r="BL27" s="11">
        <v>0</v>
      </c>
      <c r="BW27" s="11">
        <v>21</v>
      </c>
      <c r="BX27" s="3" t="s">
        <v>104</v>
      </c>
    </row>
    <row r="28" spans="1:76">
      <c r="A28" s="13" t="s">
        <v>52</v>
      </c>
      <c r="B28" s="100" t="s">
        <v>105</v>
      </c>
      <c r="C28" s="101" t="s">
        <v>106</v>
      </c>
      <c r="D28" s="102"/>
      <c r="E28" s="103" t="s">
        <v>4</v>
      </c>
      <c r="F28" s="103" t="s">
        <v>4</v>
      </c>
      <c r="G28" s="97" t="s">
        <v>4</v>
      </c>
      <c r="H28" s="104">
        <f>SUM(H29:H34)</f>
        <v>0</v>
      </c>
      <c r="I28" s="104">
        <f>SUM(I29:I34)</f>
        <v>0</v>
      </c>
      <c r="J28" s="104">
        <f>SUM(J29:J34)</f>
        <v>0</v>
      </c>
      <c r="K28" s="14" t="s">
        <v>52</v>
      </c>
      <c r="AI28" s="6" t="s">
        <v>56</v>
      </c>
      <c r="AS28" s="1">
        <f>SUM(AJ29:AJ34)</f>
        <v>0</v>
      </c>
      <c r="AT28" s="1">
        <f>SUM(AK29:AK34)</f>
        <v>0</v>
      </c>
      <c r="AU28" s="1">
        <f>SUM(AL29:AL34)</f>
        <v>0</v>
      </c>
    </row>
    <row r="29" spans="1:76">
      <c r="A29" s="29" t="s">
        <v>107</v>
      </c>
      <c r="B29" s="30" t="s">
        <v>108</v>
      </c>
      <c r="C29" s="105" t="s">
        <v>109</v>
      </c>
      <c r="D29" s="70"/>
      <c r="E29" s="30" t="s">
        <v>110</v>
      </c>
      <c r="F29" s="106">
        <v>3.1</v>
      </c>
      <c r="G29" s="107">
        <v>0</v>
      </c>
      <c r="H29" s="106">
        <f>ROUND(F29*AO29,2)</f>
        <v>0</v>
      </c>
      <c r="I29" s="106">
        <f>ROUND(F29*AP29,2)</f>
        <v>0</v>
      </c>
      <c r="J29" s="106">
        <f>ROUND(F29*G29,2)</f>
        <v>0</v>
      </c>
      <c r="K29" s="108" t="s">
        <v>111</v>
      </c>
      <c r="Z29" s="11">
        <f>ROUND(IF(AQ29="5",BJ29,0),2)</f>
        <v>0</v>
      </c>
      <c r="AB29" s="11">
        <f>ROUND(IF(AQ29="1",BH29,0),2)</f>
        <v>0</v>
      </c>
      <c r="AC29" s="11">
        <f>ROUND(IF(AQ29="1",BI29,0),2)</f>
        <v>0</v>
      </c>
      <c r="AD29" s="11">
        <f>ROUND(IF(AQ29="7",BH29,0),2)</f>
        <v>0</v>
      </c>
      <c r="AE29" s="11">
        <f>ROUND(IF(AQ29="7",BI29,0),2)</f>
        <v>0</v>
      </c>
      <c r="AF29" s="11">
        <f>ROUND(IF(AQ29="2",BH29,0),2)</f>
        <v>0</v>
      </c>
      <c r="AG29" s="11">
        <f>ROUND(IF(AQ29="2",BI29,0),2)</f>
        <v>0</v>
      </c>
      <c r="AH29" s="11">
        <f>ROUND(IF(AQ29="0",BJ29,0),2)</f>
        <v>0</v>
      </c>
      <c r="AI29" s="6" t="s">
        <v>56</v>
      </c>
      <c r="AJ29" s="11">
        <f>IF(AN29=0,J29,0)</f>
        <v>0</v>
      </c>
      <c r="AK29" s="11">
        <f>IF(AN29=12,J29,0)</f>
        <v>0</v>
      </c>
      <c r="AL29" s="11">
        <f>IF(AN29=21,J29,0)</f>
        <v>0</v>
      </c>
      <c r="AN29" s="11">
        <v>21</v>
      </c>
      <c r="AO29" s="11">
        <f>G29*0</f>
        <v>0</v>
      </c>
      <c r="AP29" s="11">
        <f>G29*(1-0)</f>
        <v>0</v>
      </c>
      <c r="AQ29" s="12" t="s">
        <v>81</v>
      </c>
      <c r="AV29" s="11">
        <f>ROUND(AW29+AX29,2)</f>
        <v>0</v>
      </c>
      <c r="AW29" s="11">
        <f>ROUND(F29*AO29,2)</f>
        <v>0</v>
      </c>
      <c r="AX29" s="11">
        <f>ROUND(F29*AP29,2)</f>
        <v>0</v>
      </c>
      <c r="AY29" s="12" t="s">
        <v>112</v>
      </c>
      <c r="AZ29" s="12" t="s">
        <v>113</v>
      </c>
      <c r="BA29" s="6" t="s">
        <v>63</v>
      </c>
      <c r="BC29" s="11">
        <f>AW29+AX29</f>
        <v>0</v>
      </c>
      <c r="BD29" s="11">
        <f>G29/(100-BE29)*100</f>
        <v>0</v>
      </c>
      <c r="BE29" s="11">
        <v>0</v>
      </c>
      <c r="BF29" s="11">
        <f>29</f>
        <v>29</v>
      </c>
      <c r="BH29" s="11">
        <f>F29*AO29</f>
        <v>0</v>
      </c>
      <c r="BI29" s="11">
        <f>F29*AP29</f>
        <v>0</v>
      </c>
      <c r="BJ29" s="11">
        <f>F29*G29</f>
        <v>0</v>
      </c>
      <c r="BK29" s="12" t="s">
        <v>64</v>
      </c>
      <c r="BL29" s="11">
        <v>713</v>
      </c>
      <c r="BW29" s="11">
        <v>21</v>
      </c>
      <c r="BX29" s="3" t="s">
        <v>109</v>
      </c>
    </row>
    <row r="30" spans="1:76">
      <c r="A30" s="29" t="s">
        <v>114</v>
      </c>
      <c r="B30" s="2" t="s">
        <v>115</v>
      </c>
      <c r="C30" s="40" t="s">
        <v>116</v>
      </c>
      <c r="D30" s="38"/>
      <c r="E30" s="2" t="s">
        <v>110</v>
      </c>
      <c r="F30" s="11">
        <v>3.1</v>
      </c>
      <c r="G30" s="109">
        <v>0</v>
      </c>
      <c r="H30" s="11">
        <f>ROUND(F30*AO30,2)</f>
        <v>0</v>
      </c>
      <c r="I30" s="11">
        <f>ROUND(F30*AP30,2)</f>
        <v>0</v>
      </c>
      <c r="J30" s="11">
        <f>ROUND(F30*G30,2)</f>
        <v>0</v>
      </c>
      <c r="K30" s="108" t="s">
        <v>111</v>
      </c>
      <c r="Z30" s="11">
        <f>ROUND(IF(AQ30="5",BJ30,0),2)</f>
        <v>0</v>
      </c>
      <c r="AB30" s="11">
        <f>ROUND(IF(AQ30="1",BH30,0),2)</f>
        <v>0</v>
      </c>
      <c r="AC30" s="11">
        <f>ROUND(IF(AQ30="1",BI30,0),2)</f>
        <v>0</v>
      </c>
      <c r="AD30" s="11">
        <f>ROUND(IF(AQ30="7",BH30,0),2)</f>
        <v>0</v>
      </c>
      <c r="AE30" s="11">
        <f>ROUND(IF(AQ30="7",BI30,0),2)</f>
        <v>0</v>
      </c>
      <c r="AF30" s="11">
        <f>ROUND(IF(AQ30="2",BH30,0),2)</f>
        <v>0</v>
      </c>
      <c r="AG30" s="11">
        <f>ROUND(IF(AQ30="2",BI30,0),2)</f>
        <v>0</v>
      </c>
      <c r="AH30" s="11">
        <f>ROUND(IF(AQ30="0",BJ30,0),2)</f>
        <v>0</v>
      </c>
      <c r="AI30" s="6" t="s">
        <v>56</v>
      </c>
      <c r="AJ30" s="11">
        <f>IF(AN30=0,J30,0)</f>
        <v>0</v>
      </c>
      <c r="AK30" s="11">
        <f>IF(AN30=12,J30,0)</f>
        <v>0</v>
      </c>
      <c r="AL30" s="11">
        <f>IF(AN30=21,J30,0)</f>
        <v>0</v>
      </c>
      <c r="AN30" s="11">
        <v>21</v>
      </c>
      <c r="AO30" s="11">
        <f>G30*0.087775218</f>
        <v>0</v>
      </c>
      <c r="AP30" s="11">
        <f>G30*(1-0.087775218)</f>
        <v>0</v>
      </c>
      <c r="AQ30" s="12" t="s">
        <v>81</v>
      </c>
      <c r="AV30" s="11">
        <f>ROUND(AW30+AX30,2)</f>
        <v>0</v>
      </c>
      <c r="AW30" s="11">
        <f>ROUND(F30*AO30,2)</f>
        <v>0</v>
      </c>
      <c r="AX30" s="11">
        <f>ROUND(F30*AP30,2)</f>
        <v>0</v>
      </c>
      <c r="AY30" s="12" t="s">
        <v>112</v>
      </c>
      <c r="AZ30" s="12" t="s">
        <v>113</v>
      </c>
      <c r="BA30" s="6" t="s">
        <v>63</v>
      </c>
      <c r="BC30" s="11">
        <f>AW30+AX30</f>
        <v>0</v>
      </c>
      <c r="BD30" s="11">
        <f>G30/(100-BE30)*100</f>
        <v>0</v>
      </c>
      <c r="BE30" s="11">
        <v>0</v>
      </c>
      <c r="BF30" s="11">
        <f>30</f>
        <v>30</v>
      </c>
      <c r="BH30" s="11">
        <f>F30*AO30</f>
        <v>0</v>
      </c>
      <c r="BI30" s="11">
        <f>F30*AP30</f>
        <v>0</v>
      </c>
      <c r="BJ30" s="11">
        <f>F30*G30</f>
        <v>0</v>
      </c>
      <c r="BK30" s="12" t="s">
        <v>64</v>
      </c>
      <c r="BL30" s="11">
        <v>713</v>
      </c>
      <c r="BW30" s="11">
        <v>21</v>
      </c>
      <c r="BX30" s="3" t="s">
        <v>116</v>
      </c>
    </row>
    <row r="31" spans="1:76" ht="24.75">
      <c r="A31" s="29" t="s">
        <v>117</v>
      </c>
      <c r="B31" s="2" t="s">
        <v>118</v>
      </c>
      <c r="C31" s="40" t="s">
        <v>119</v>
      </c>
      <c r="D31" s="38"/>
      <c r="E31" s="2" t="s">
        <v>120</v>
      </c>
      <c r="F31" s="11">
        <v>6</v>
      </c>
      <c r="G31" s="109">
        <v>0</v>
      </c>
      <c r="H31" s="11">
        <f>ROUND(F31*AO31,2)</f>
        <v>0</v>
      </c>
      <c r="I31" s="11">
        <f>ROUND(F31*AP31,2)</f>
        <v>0</v>
      </c>
      <c r="J31" s="11">
        <f>ROUND(F31*G31,2)</f>
        <v>0</v>
      </c>
      <c r="K31" s="108" t="s">
        <v>111</v>
      </c>
      <c r="Z31" s="11">
        <f>ROUND(IF(AQ31="5",BJ31,0),2)</f>
        <v>0</v>
      </c>
      <c r="AB31" s="11">
        <f>ROUND(IF(AQ31="1",BH31,0),2)</f>
        <v>0</v>
      </c>
      <c r="AC31" s="11">
        <f>ROUND(IF(AQ31="1",BI31,0),2)</f>
        <v>0</v>
      </c>
      <c r="AD31" s="11">
        <f>ROUND(IF(AQ31="7",BH31,0),2)</f>
        <v>0</v>
      </c>
      <c r="AE31" s="11">
        <f>ROUND(IF(AQ31="7",BI31,0),2)</f>
        <v>0</v>
      </c>
      <c r="AF31" s="11">
        <f>ROUND(IF(AQ31="2",BH31,0),2)</f>
        <v>0</v>
      </c>
      <c r="AG31" s="11">
        <f>ROUND(IF(AQ31="2",BI31,0),2)</f>
        <v>0</v>
      </c>
      <c r="AH31" s="11">
        <f>ROUND(IF(AQ31="0",BJ31,0),2)</f>
        <v>0</v>
      </c>
      <c r="AI31" s="6" t="s">
        <v>56</v>
      </c>
      <c r="AJ31" s="11">
        <f>IF(AN31=0,J31,0)</f>
        <v>0</v>
      </c>
      <c r="AK31" s="11">
        <f>IF(AN31=12,J31,0)</f>
        <v>0</v>
      </c>
      <c r="AL31" s="11">
        <f>IF(AN31=21,J31,0)</f>
        <v>0</v>
      </c>
      <c r="AN31" s="11">
        <v>21</v>
      </c>
      <c r="AO31" s="11">
        <f>G31*0.545583174</f>
        <v>0</v>
      </c>
      <c r="AP31" s="11">
        <f>G31*(1-0.545583174)</f>
        <v>0</v>
      </c>
      <c r="AQ31" s="12" t="s">
        <v>81</v>
      </c>
      <c r="AV31" s="11">
        <f>ROUND(AW31+AX31,2)</f>
        <v>0</v>
      </c>
      <c r="AW31" s="11">
        <f>ROUND(F31*AO31,2)</f>
        <v>0</v>
      </c>
      <c r="AX31" s="11">
        <f>ROUND(F31*AP31,2)</f>
        <v>0</v>
      </c>
      <c r="AY31" s="12" t="s">
        <v>112</v>
      </c>
      <c r="AZ31" s="12" t="s">
        <v>113</v>
      </c>
      <c r="BA31" s="6" t="s">
        <v>63</v>
      </c>
      <c r="BC31" s="11">
        <f>AW31+AX31</f>
        <v>0</v>
      </c>
      <c r="BD31" s="11">
        <f>G31/(100-BE31)*100</f>
        <v>0</v>
      </c>
      <c r="BE31" s="11">
        <v>0</v>
      </c>
      <c r="BF31" s="11">
        <f>31</f>
        <v>31</v>
      </c>
      <c r="BH31" s="11">
        <f>F31*AO31</f>
        <v>0</v>
      </c>
      <c r="BI31" s="11">
        <f>F31*AP31</f>
        <v>0</v>
      </c>
      <c r="BJ31" s="11">
        <f>F31*G31</f>
        <v>0</v>
      </c>
      <c r="BK31" s="12" t="s">
        <v>64</v>
      </c>
      <c r="BL31" s="11">
        <v>713</v>
      </c>
      <c r="BW31" s="11">
        <v>21</v>
      </c>
      <c r="BX31" s="3" t="s">
        <v>119</v>
      </c>
    </row>
    <row r="32" spans="1:76" ht="24.75">
      <c r="A32" s="29" t="s">
        <v>121</v>
      </c>
      <c r="B32" s="2" t="s">
        <v>122</v>
      </c>
      <c r="C32" s="40" t="s">
        <v>123</v>
      </c>
      <c r="D32" s="38"/>
      <c r="E32" s="2" t="s">
        <v>120</v>
      </c>
      <c r="F32" s="11">
        <v>1</v>
      </c>
      <c r="G32" s="109">
        <v>0</v>
      </c>
      <c r="H32" s="11">
        <f>ROUND(F32*AO32,2)</f>
        <v>0</v>
      </c>
      <c r="I32" s="11">
        <f>ROUND(F32*AP32,2)</f>
        <v>0</v>
      </c>
      <c r="J32" s="11">
        <f>ROUND(F32*G32,2)</f>
        <v>0</v>
      </c>
      <c r="K32" s="108" t="s">
        <v>111</v>
      </c>
      <c r="Z32" s="11">
        <f>ROUND(IF(AQ32="5",BJ32,0),2)</f>
        <v>0</v>
      </c>
      <c r="AB32" s="11">
        <f>ROUND(IF(AQ32="1",BH32,0),2)</f>
        <v>0</v>
      </c>
      <c r="AC32" s="11">
        <f>ROUND(IF(AQ32="1",BI32,0),2)</f>
        <v>0</v>
      </c>
      <c r="AD32" s="11">
        <f>ROUND(IF(AQ32="7",BH32,0),2)</f>
        <v>0</v>
      </c>
      <c r="AE32" s="11">
        <f>ROUND(IF(AQ32="7",BI32,0),2)</f>
        <v>0</v>
      </c>
      <c r="AF32" s="11">
        <f>ROUND(IF(AQ32="2",BH32,0),2)</f>
        <v>0</v>
      </c>
      <c r="AG32" s="11">
        <f>ROUND(IF(AQ32="2",BI32,0),2)</f>
        <v>0</v>
      </c>
      <c r="AH32" s="11">
        <f>ROUND(IF(AQ32="0",BJ32,0),2)</f>
        <v>0</v>
      </c>
      <c r="AI32" s="6" t="s">
        <v>56</v>
      </c>
      <c r="AJ32" s="11">
        <f>IF(AN32=0,J32,0)</f>
        <v>0</v>
      </c>
      <c r="AK32" s="11">
        <f>IF(AN32=12,J32,0)</f>
        <v>0</v>
      </c>
      <c r="AL32" s="11">
        <f>IF(AN32=21,J32,0)</f>
        <v>0</v>
      </c>
      <c r="AN32" s="11">
        <v>21</v>
      </c>
      <c r="AO32" s="11">
        <f>G32*0.549243886</f>
        <v>0</v>
      </c>
      <c r="AP32" s="11">
        <f>G32*(1-0.549243886)</f>
        <v>0</v>
      </c>
      <c r="AQ32" s="12" t="s">
        <v>81</v>
      </c>
      <c r="AV32" s="11">
        <f>ROUND(AW32+AX32,2)</f>
        <v>0</v>
      </c>
      <c r="AW32" s="11">
        <f>ROUND(F32*AO32,2)</f>
        <v>0</v>
      </c>
      <c r="AX32" s="11">
        <f>ROUND(F32*AP32,2)</f>
        <v>0</v>
      </c>
      <c r="AY32" s="12" t="s">
        <v>112</v>
      </c>
      <c r="AZ32" s="12" t="s">
        <v>113</v>
      </c>
      <c r="BA32" s="6" t="s">
        <v>63</v>
      </c>
      <c r="BC32" s="11">
        <f>AW32+AX32</f>
        <v>0</v>
      </c>
      <c r="BD32" s="11">
        <f>G32/(100-BE32)*100</f>
        <v>0</v>
      </c>
      <c r="BE32" s="11">
        <v>0</v>
      </c>
      <c r="BF32" s="11">
        <f>32</f>
        <v>32</v>
      </c>
      <c r="BH32" s="11">
        <f>F32*AO32</f>
        <v>0</v>
      </c>
      <c r="BI32" s="11">
        <f>F32*AP32</f>
        <v>0</v>
      </c>
      <c r="BJ32" s="11">
        <f>F32*G32</f>
        <v>0</v>
      </c>
      <c r="BK32" s="12" t="s">
        <v>64</v>
      </c>
      <c r="BL32" s="11">
        <v>713</v>
      </c>
      <c r="BW32" s="11">
        <v>21</v>
      </c>
      <c r="BX32" s="3" t="s">
        <v>123</v>
      </c>
    </row>
    <row r="33" spans="1:76">
      <c r="A33" s="29" t="s">
        <v>124</v>
      </c>
      <c r="B33" s="2" t="s">
        <v>125</v>
      </c>
      <c r="C33" s="40" t="s">
        <v>126</v>
      </c>
      <c r="D33" s="38"/>
      <c r="E33" s="2" t="s">
        <v>127</v>
      </c>
      <c r="F33" s="11">
        <v>1.086E-2</v>
      </c>
      <c r="G33" s="109">
        <v>0</v>
      </c>
      <c r="H33" s="11">
        <f>ROUND(F33*AO33,2)</f>
        <v>0</v>
      </c>
      <c r="I33" s="11">
        <f>ROUND(F33*AP33,2)</f>
        <v>0</v>
      </c>
      <c r="J33" s="11">
        <f>ROUND(F33*G33,2)</f>
        <v>0</v>
      </c>
      <c r="K33" s="108" t="s">
        <v>111</v>
      </c>
      <c r="Z33" s="11">
        <f>ROUND(IF(AQ33="5",BJ33,0),2)</f>
        <v>0</v>
      </c>
      <c r="AB33" s="11">
        <f>ROUND(IF(AQ33="1",BH33,0),2)</f>
        <v>0</v>
      </c>
      <c r="AC33" s="11">
        <f>ROUND(IF(AQ33="1",BI33,0),2)</f>
        <v>0</v>
      </c>
      <c r="AD33" s="11">
        <f>ROUND(IF(AQ33="7",BH33,0),2)</f>
        <v>0</v>
      </c>
      <c r="AE33" s="11">
        <f>ROUND(IF(AQ33="7",BI33,0),2)</f>
        <v>0</v>
      </c>
      <c r="AF33" s="11">
        <f>ROUND(IF(AQ33="2",BH33,0),2)</f>
        <v>0</v>
      </c>
      <c r="AG33" s="11">
        <f>ROUND(IF(AQ33="2",BI33,0),2)</f>
        <v>0</v>
      </c>
      <c r="AH33" s="11">
        <f>ROUND(IF(AQ33="0",BJ33,0),2)</f>
        <v>0</v>
      </c>
      <c r="AI33" s="6" t="s">
        <v>56</v>
      </c>
      <c r="AJ33" s="11">
        <f>IF(AN33=0,J33,0)</f>
        <v>0</v>
      </c>
      <c r="AK33" s="11">
        <f>IF(AN33=12,J33,0)</f>
        <v>0</v>
      </c>
      <c r="AL33" s="11">
        <f>IF(AN33=21,J33,0)</f>
        <v>0</v>
      </c>
      <c r="AN33" s="11">
        <v>21</v>
      </c>
      <c r="AO33" s="11">
        <f>G33*0</f>
        <v>0</v>
      </c>
      <c r="AP33" s="11">
        <f>G33*(1-0)</f>
        <v>0</v>
      </c>
      <c r="AQ33" s="12" t="s">
        <v>74</v>
      </c>
      <c r="AV33" s="11">
        <f>ROUND(AW33+AX33,2)</f>
        <v>0</v>
      </c>
      <c r="AW33" s="11">
        <f>ROUND(F33*AO33,2)</f>
        <v>0</v>
      </c>
      <c r="AX33" s="11">
        <f>ROUND(F33*AP33,2)</f>
        <v>0</v>
      </c>
      <c r="AY33" s="12" t="s">
        <v>112</v>
      </c>
      <c r="AZ33" s="12" t="s">
        <v>113</v>
      </c>
      <c r="BA33" s="6" t="s">
        <v>63</v>
      </c>
      <c r="BC33" s="11">
        <f>AW33+AX33</f>
        <v>0</v>
      </c>
      <c r="BD33" s="11">
        <f>G33/(100-BE33)*100</f>
        <v>0</v>
      </c>
      <c r="BE33" s="11">
        <v>0</v>
      </c>
      <c r="BF33" s="11">
        <f>33</f>
        <v>33</v>
      </c>
      <c r="BH33" s="11">
        <f>F33*AO33</f>
        <v>0</v>
      </c>
      <c r="BI33" s="11">
        <f>F33*AP33</f>
        <v>0</v>
      </c>
      <c r="BJ33" s="11">
        <f>F33*G33</f>
        <v>0</v>
      </c>
      <c r="BK33" s="12" t="s">
        <v>64</v>
      </c>
      <c r="BL33" s="11">
        <v>713</v>
      </c>
      <c r="BW33" s="11">
        <v>21</v>
      </c>
      <c r="BX33" s="3" t="s">
        <v>126</v>
      </c>
    </row>
    <row r="34" spans="1:76">
      <c r="A34" s="29" t="s">
        <v>128</v>
      </c>
      <c r="B34" s="30" t="s">
        <v>129</v>
      </c>
      <c r="C34" s="105" t="s">
        <v>130</v>
      </c>
      <c r="D34" s="70"/>
      <c r="E34" s="30" t="s">
        <v>127</v>
      </c>
      <c r="F34" s="106">
        <v>1.086E-2</v>
      </c>
      <c r="G34" s="107">
        <v>0</v>
      </c>
      <c r="H34" s="106">
        <f>ROUND(F34*AO34,2)</f>
        <v>0</v>
      </c>
      <c r="I34" s="106">
        <f>ROUND(F34*AP34,2)</f>
        <v>0</v>
      </c>
      <c r="J34" s="106">
        <f>ROUND(F34*G34,2)</f>
        <v>0</v>
      </c>
      <c r="K34" s="108" t="s">
        <v>111</v>
      </c>
      <c r="Z34" s="11">
        <f>ROUND(IF(AQ34="5",BJ34,0),2)</f>
        <v>0</v>
      </c>
      <c r="AB34" s="11">
        <f>ROUND(IF(AQ34="1",BH34,0),2)</f>
        <v>0</v>
      </c>
      <c r="AC34" s="11">
        <f>ROUND(IF(AQ34="1",BI34,0),2)</f>
        <v>0</v>
      </c>
      <c r="AD34" s="11">
        <f>ROUND(IF(AQ34="7",BH34,0),2)</f>
        <v>0</v>
      </c>
      <c r="AE34" s="11">
        <f>ROUND(IF(AQ34="7",BI34,0),2)</f>
        <v>0</v>
      </c>
      <c r="AF34" s="11">
        <f>ROUND(IF(AQ34="2",BH34,0),2)</f>
        <v>0</v>
      </c>
      <c r="AG34" s="11">
        <f>ROUND(IF(AQ34="2",BI34,0),2)</f>
        <v>0</v>
      </c>
      <c r="AH34" s="11">
        <f>ROUND(IF(AQ34="0",BJ34,0),2)</f>
        <v>0</v>
      </c>
      <c r="AI34" s="6" t="s">
        <v>56</v>
      </c>
      <c r="AJ34" s="11">
        <f>IF(AN34=0,J34,0)</f>
        <v>0</v>
      </c>
      <c r="AK34" s="11">
        <f>IF(AN34=12,J34,0)</f>
        <v>0</v>
      </c>
      <c r="AL34" s="11">
        <f>IF(AN34=21,J34,0)</f>
        <v>0</v>
      </c>
      <c r="AN34" s="11">
        <v>21</v>
      </c>
      <c r="AO34" s="11">
        <f>G34*0</f>
        <v>0</v>
      </c>
      <c r="AP34" s="11">
        <f>G34*(1-0)</f>
        <v>0</v>
      </c>
      <c r="AQ34" s="12" t="s">
        <v>74</v>
      </c>
      <c r="AV34" s="11">
        <f>ROUND(AW34+AX34,2)</f>
        <v>0</v>
      </c>
      <c r="AW34" s="11">
        <f>ROUND(F34*AO34,2)</f>
        <v>0</v>
      </c>
      <c r="AX34" s="11">
        <f>ROUND(F34*AP34,2)</f>
        <v>0</v>
      </c>
      <c r="AY34" s="12" t="s">
        <v>112</v>
      </c>
      <c r="AZ34" s="12" t="s">
        <v>113</v>
      </c>
      <c r="BA34" s="6" t="s">
        <v>63</v>
      </c>
      <c r="BC34" s="11">
        <f>AW34+AX34</f>
        <v>0</v>
      </c>
      <c r="BD34" s="11">
        <f>G34/(100-BE34)*100</f>
        <v>0</v>
      </c>
      <c r="BE34" s="11">
        <v>0</v>
      </c>
      <c r="BF34" s="11">
        <f>34</f>
        <v>34</v>
      </c>
      <c r="BH34" s="11">
        <f>F34*AO34</f>
        <v>0</v>
      </c>
      <c r="BI34" s="11">
        <f>F34*AP34</f>
        <v>0</v>
      </c>
      <c r="BJ34" s="11">
        <f>F34*G34</f>
        <v>0</v>
      </c>
      <c r="BK34" s="12" t="s">
        <v>64</v>
      </c>
      <c r="BL34" s="11">
        <v>713</v>
      </c>
      <c r="BW34" s="11">
        <v>21</v>
      </c>
      <c r="BX34" s="3" t="s">
        <v>130</v>
      </c>
    </row>
    <row r="35" spans="1:76">
      <c r="A35" s="13" t="s">
        <v>52</v>
      </c>
      <c r="B35" s="100" t="s">
        <v>131</v>
      </c>
      <c r="C35" s="101" t="s">
        <v>132</v>
      </c>
      <c r="D35" s="102"/>
      <c r="E35" s="103" t="s">
        <v>4</v>
      </c>
      <c r="F35" s="103" t="s">
        <v>4</v>
      </c>
      <c r="G35" s="97" t="s">
        <v>4</v>
      </c>
      <c r="H35" s="104">
        <f>SUM(H36:H41)</f>
        <v>0</v>
      </c>
      <c r="I35" s="104">
        <f>SUM(I36:I41)</f>
        <v>0</v>
      </c>
      <c r="J35" s="104">
        <f>SUM(J36:J41)</f>
        <v>0</v>
      </c>
      <c r="K35" s="14" t="s">
        <v>52</v>
      </c>
      <c r="AI35" s="6" t="s">
        <v>56</v>
      </c>
      <c r="AS35" s="1">
        <f>SUM(AJ36:AJ41)</f>
        <v>0</v>
      </c>
      <c r="AT35" s="1">
        <f>SUM(AK36:AK41)</f>
        <v>0</v>
      </c>
      <c r="AU35" s="1">
        <f>SUM(AL36:AL41)</f>
        <v>0</v>
      </c>
    </row>
    <row r="36" spans="1:76">
      <c r="A36" s="29" t="s">
        <v>133</v>
      </c>
      <c r="B36" s="30" t="s">
        <v>134</v>
      </c>
      <c r="C36" s="105" t="s">
        <v>135</v>
      </c>
      <c r="D36" s="70"/>
      <c r="E36" s="30" t="s">
        <v>120</v>
      </c>
      <c r="F36" s="106">
        <v>1</v>
      </c>
      <c r="G36" s="107">
        <v>0</v>
      </c>
      <c r="H36" s="106">
        <f>ROUND(F36*AO36,2)</f>
        <v>0</v>
      </c>
      <c r="I36" s="106">
        <f>ROUND(F36*AP36,2)</f>
        <v>0</v>
      </c>
      <c r="J36" s="106">
        <f>ROUND(F36*G36,2)</f>
        <v>0</v>
      </c>
      <c r="K36" s="108" t="s">
        <v>111</v>
      </c>
      <c r="Z36" s="11">
        <f>ROUND(IF(AQ36="5",BJ36,0),2)</f>
        <v>0</v>
      </c>
      <c r="AB36" s="11">
        <f>ROUND(IF(AQ36="1",BH36,0),2)</f>
        <v>0</v>
      </c>
      <c r="AC36" s="11">
        <f>ROUND(IF(AQ36="1",BI36,0),2)</f>
        <v>0</v>
      </c>
      <c r="AD36" s="11">
        <f>ROUND(IF(AQ36="7",BH36,0),2)</f>
        <v>0</v>
      </c>
      <c r="AE36" s="11">
        <f>ROUND(IF(AQ36="7",BI36,0),2)</f>
        <v>0</v>
      </c>
      <c r="AF36" s="11">
        <f>ROUND(IF(AQ36="2",BH36,0),2)</f>
        <v>0</v>
      </c>
      <c r="AG36" s="11">
        <f>ROUND(IF(AQ36="2",BI36,0),2)</f>
        <v>0</v>
      </c>
      <c r="AH36" s="11">
        <f>ROUND(IF(AQ36="0",BJ36,0),2)</f>
        <v>0</v>
      </c>
      <c r="AI36" s="6" t="s">
        <v>56</v>
      </c>
      <c r="AJ36" s="11">
        <f>IF(AN36=0,J36,0)</f>
        <v>0</v>
      </c>
      <c r="AK36" s="11">
        <f>IF(AN36=12,J36,0)</f>
        <v>0</v>
      </c>
      <c r="AL36" s="11">
        <f>IF(AN36=21,J36,0)</f>
        <v>0</v>
      </c>
      <c r="AN36" s="11">
        <v>21</v>
      </c>
      <c r="AO36" s="11">
        <f>G36*0.306450617</f>
        <v>0</v>
      </c>
      <c r="AP36" s="11">
        <f>G36*(1-0.306450617)</f>
        <v>0</v>
      </c>
      <c r="AQ36" s="12" t="s">
        <v>81</v>
      </c>
      <c r="AV36" s="11">
        <f>ROUND(AW36+AX36,2)</f>
        <v>0</v>
      </c>
      <c r="AW36" s="11">
        <f>ROUND(F36*AO36,2)</f>
        <v>0</v>
      </c>
      <c r="AX36" s="11">
        <f>ROUND(F36*AP36,2)</f>
        <v>0</v>
      </c>
      <c r="AY36" s="12" t="s">
        <v>136</v>
      </c>
      <c r="AZ36" s="12" t="s">
        <v>137</v>
      </c>
      <c r="BA36" s="6" t="s">
        <v>63</v>
      </c>
      <c r="BC36" s="11">
        <f>AW36+AX36</f>
        <v>0</v>
      </c>
      <c r="BD36" s="11">
        <f>G36/(100-BE36)*100</f>
        <v>0</v>
      </c>
      <c r="BE36" s="11">
        <v>0</v>
      </c>
      <c r="BF36" s="11">
        <f>36</f>
        <v>36</v>
      </c>
      <c r="BH36" s="11">
        <f>F36*AO36</f>
        <v>0</v>
      </c>
      <c r="BI36" s="11">
        <f>F36*AP36</f>
        <v>0</v>
      </c>
      <c r="BJ36" s="11">
        <f>F36*G36</f>
        <v>0</v>
      </c>
      <c r="BK36" s="12" t="s">
        <v>64</v>
      </c>
      <c r="BL36" s="11">
        <v>721</v>
      </c>
      <c r="BW36" s="11">
        <v>21</v>
      </c>
      <c r="BX36" s="3" t="s">
        <v>135</v>
      </c>
    </row>
    <row r="37" spans="1:76">
      <c r="A37" s="29" t="s">
        <v>138</v>
      </c>
      <c r="B37" s="2" t="s">
        <v>139</v>
      </c>
      <c r="C37" s="40" t="s">
        <v>140</v>
      </c>
      <c r="D37" s="38"/>
      <c r="E37" s="2" t="s">
        <v>120</v>
      </c>
      <c r="F37" s="11">
        <v>3.5</v>
      </c>
      <c r="G37" s="109">
        <v>0</v>
      </c>
      <c r="H37" s="11">
        <f>ROUND(F37*AO37,2)</f>
        <v>0</v>
      </c>
      <c r="I37" s="11">
        <f>ROUND(F37*AP37,2)</f>
        <v>0</v>
      </c>
      <c r="J37" s="11">
        <f>ROUND(F37*G37,2)</f>
        <v>0</v>
      </c>
      <c r="K37" s="108" t="s">
        <v>111</v>
      </c>
      <c r="Z37" s="11">
        <f>ROUND(IF(AQ37="5",BJ37,0),2)</f>
        <v>0</v>
      </c>
      <c r="AB37" s="11">
        <f>ROUND(IF(AQ37="1",BH37,0),2)</f>
        <v>0</v>
      </c>
      <c r="AC37" s="11">
        <f>ROUND(IF(AQ37="1",BI37,0),2)</f>
        <v>0</v>
      </c>
      <c r="AD37" s="11">
        <f>ROUND(IF(AQ37="7",BH37,0),2)</f>
        <v>0</v>
      </c>
      <c r="AE37" s="11">
        <f>ROUND(IF(AQ37="7",BI37,0),2)</f>
        <v>0</v>
      </c>
      <c r="AF37" s="11">
        <f>ROUND(IF(AQ37="2",BH37,0),2)</f>
        <v>0</v>
      </c>
      <c r="AG37" s="11">
        <f>ROUND(IF(AQ37="2",BI37,0),2)</f>
        <v>0</v>
      </c>
      <c r="AH37" s="11">
        <f>ROUND(IF(AQ37="0",BJ37,0),2)</f>
        <v>0</v>
      </c>
      <c r="AI37" s="6" t="s">
        <v>56</v>
      </c>
      <c r="AJ37" s="11">
        <f>IF(AN37=0,J37,0)</f>
        <v>0</v>
      </c>
      <c r="AK37" s="11">
        <f>IF(AN37=12,J37,0)</f>
        <v>0</v>
      </c>
      <c r="AL37" s="11">
        <f>IF(AN37=21,J37,0)</f>
        <v>0</v>
      </c>
      <c r="AN37" s="11">
        <v>21</v>
      </c>
      <c r="AO37" s="11">
        <f>G37*0.259176277</f>
        <v>0</v>
      </c>
      <c r="AP37" s="11">
        <f>G37*(1-0.259176277)</f>
        <v>0</v>
      </c>
      <c r="AQ37" s="12" t="s">
        <v>81</v>
      </c>
      <c r="AV37" s="11">
        <f>ROUND(AW37+AX37,2)</f>
        <v>0</v>
      </c>
      <c r="AW37" s="11">
        <f>ROUND(F37*AO37,2)</f>
        <v>0</v>
      </c>
      <c r="AX37" s="11">
        <f>ROUND(F37*AP37,2)</f>
        <v>0</v>
      </c>
      <c r="AY37" s="12" t="s">
        <v>136</v>
      </c>
      <c r="AZ37" s="12" t="s">
        <v>137</v>
      </c>
      <c r="BA37" s="6" t="s">
        <v>63</v>
      </c>
      <c r="BC37" s="11">
        <f>AW37+AX37</f>
        <v>0</v>
      </c>
      <c r="BD37" s="11">
        <f>G37/(100-BE37)*100</f>
        <v>0</v>
      </c>
      <c r="BE37" s="11">
        <v>0</v>
      </c>
      <c r="BF37" s="11">
        <f>37</f>
        <v>37</v>
      </c>
      <c r="BH37" s="11">
        <f>F37*AO37</f>
        <v>0</v>
      </c>
      <c r="BI37" s="11">
        <f>F37*AP37</f>
        <v>0</v>
      </c>
      <c r="BJ37" s="11">
        <f>F37*G37</f>
        <v>0</v>
      </c>
      <c r="BK37" s="12" t="s">
        <v>64</v>
      </c>
      <c r="BL37" s="11">
        <v>721</v>
      </c>
      <c r="BW37" s="11">
        <v>21</v>
      </c>
      <c r="BX37" s="3" t="s">
        <v>140</v>
      </c>
    </row>
    <row r="38" spans="1:76">
      <c r="A38" s="29" t="s">
        <v>141</v>
      </c>
      <c r="B38" s="2" t="s">
        <v>142</v>
      </c>
      <c r="C38" s="40" t="s">
        <v>143</v>
      </c>
      <c r="D38" s="38"/>
      <c r="E38" s="2" t="s">
        <v>120</v>
      </c>
      <c r="F38" s="11">
        <v>4.5</v>
      </c>
      <c r="G38" s="109">
        <v>0</v>
      </c>
      <c r="H38" s="11">
        <f>ROUND(F38*AO38,2)</f>
        <v>0</v>
      </c>
      <c r="I38" s="11">
        <f>ROUND(F38*AP38,2)</f>
        <v>0</v>
      </c>
      <c r="J38" s="11">
        <f>ROUND(F38*G38,2)</f>
        <v>0</v>
      </c>
      <c r="K38" s="108" t="s">
        <v>111</v>
      </c>
      <c r="Z38" s="11">
        <f>ROUND(IF(AQ38="5",BJ38,0),2)</f>
        <v>0</v>
      </c>
      <c r="AB38" s="11">
        <f>ROUND(IF(AQ38="1",BH38,0),2)</f>
        <v>0</v>
      </c>
      <c r="AC38" s="11">
        <f>ROUND(IF(AQ38="1",BI38,0),2)</f>
        <v>0</v>
      </c>
      <c r="AD38" s="11">
        <f>ROUND(IF(AQ38="7",BH38,0),2)</f>
        <v>0</v>
      </c>
      <c r="AE38" s="11">
        <f>ROUND(IF(AQ38="7",BI38,0),2)</f>
        <v>0</v>
      </c>
      <c r="AF38" s="11">
        <f>ROUND(IF(AQ38="2",BH38,0),2)</f>
        <v>0</v>
      </c>
      <c r="AG38" s="11">
        <f>ROUND(IF(AQ38="2",BI38,0),2)</f>
        <v>0</v>
      </c>
      <c r="AH38" s="11">
        <f>ROUND(IF(AQ38="0",BJ38,0),2)</f>
        <v>0</v>
      </c>
      <c r="AI38" s="6" t="s">
        <v>56</v>
      </c>
      <c r="AJ38" s="11">
        <f>IF(AN38=0,J38,0)</f>
        <v>0</v>
      </c>
      <c r="AK38" s="11">
        <f>IF(AN38=12,J38,0)</f>
        <v>0</v>
      </c>
      <c r="AL38" s="11">
        <f>IF(AN38=21,J38,0)</f>
        <v>0</v>
      </c>
      <c r="AN38" s="11">
        <v>21</v>
      </c>
      <c r="AO38" s="11">
        <f>G38*0.026263532</f>
        <v>0</v>
      </c>
      <c r="AP38" s="11">
        <f>G38*(1-0.026263532)</f>
        <v>0</v>
      </c>
      <c r="AQ38" s="12" t="s">
        <v>81</v>
      </c>
      <c r="AV38" s="11">
        <f>ROUND(AW38+AX38,2)</f>
        <v>0</v>
      </c>
      <c r="AW38" s="11">
        <f>ROUND(F38*AO38,2)</f>
        <v>0</v>
      </c>
      <c r="AX38" s="11">
        <f>ROUND(F38*AP38,2)</f>
        <v>0</v>
      </c>
      <c r="AY38" s="12" t="s">
        <v>136</v>
      </c>
      <c r="AZ38" s="12" t="s">
        <v>137</v>
      </c>
      <c r="BA38" s="6" t="s">
        <v>63</v>
      </c>
      <c r="BC38" s="11">
        <f>AW38+AX38</f>
        <v>0</v>
      </c>
      <c r="BD38" s="11">
        <f>G38/(100-BE38)*100</f>
        <v>0</v>
      </c>
      <c r="BE38" s="11">
        <v>0</v>
      </c>
      <c r="BF38" s="11">
        <f>38</f>
        <v>38</v>
      </c>
      <c r="BH38" s="11">
        <f>F38*AO38</f>
        <v>0</v>
      </c>
      <c r="BI38" s="11">
        <f>F38*AP38</f>
        <v>0</v>
      </c>
      <c r="BJ38" s="11">
        <f>F38*G38</f>
        <v>0</v>
      </c>
      <c r="BK38" s="12" t="s">
        <v>64</v>
      </c>
      <c r="BL38" s="11">
        <v>721</v>
      </c>
      <c r="BW38" s="11">
        <v>21</v>
      </c>
      <c r="BX38" s="3" t="s">
        <v>143</v>
      </c>
    </row>
    <row r="39" spans="1:76" ht="24.75">
      <c r="A39" s="29" t="s">
        <v>144</v>
      </c>
      <c r="B39" s="2" t="s">
        <v>145</v>
      </c>
      <c r="C39" s="40" t="s">
        <v>146</v>
      </c>
      <c r="D39" s="38"/>
      <c r="E39" s="2" t="s">
        <v>60</v>
      </c>
      <c r="F39" s="11">
        <v>2</v>
      </c>
      <c r="G39" s="109">
        <v>0</v>
      </c>
      <c r="H39" s="11">
        <f>ROUND(F39*AO39,2)</f>
        <v>0</v>
      </c>
      <c r="I39" s="11">
        <f>ROUND(F39*AP39,2)</f>
        <v>0</v>
      </c>
      <c r="J39" s="11">
        <f>ROUND(F39*G39,2)</f>
        <v>0</v>
      </c>
      <c r="K39" s="108" t="s">
        <v>111</v>
      </c>
      <c r="Z39" s="11">
        <f>ROUND(IF(AQ39="5",BJ39,0),2)</f>
        <v>0</v>
      </c>
      <c r="AB39" s="11">
        <f>ROUND(IF(AQ39="1",BH39,0),2)</f>
        <v>0</v>
      </c>
      <c r="AC39" s="11">
        <f>ROUND(IF(AQ39="1",BI39,0),2)</f>
        <v>0</v>
      </c>
      <c r="AD39" s="11">
        <f>ROUND(IF(AQ39="7",BH39,0),2)</f>
        <v>0</v>
      </c>
      <c r="AE39" s="11">
        <f>ROUND(IF(AQ39="7",BI39,0),2)</f>
        <v>0</v>
      </c>
      <c r="AF39" s="11">
        <f>ROUND(IF(AQ39="2",BH39,0),2)</f>
        <v>0</v>
      </c>
      <c r="AG39" s="11">
        <f>ROUND(IF(AQ39="2",BI39,0),2)</f>
        <v>0</v>
      </c>
      <c r="AH39" s="11">
        <f>ROUND(IF(AQ39="0",BJ39,0),2)</f>
        <v>0</v>
      </c>
      <c r="AI39" s="6" t="s">
        <v>56</v>
      </c>
      <c r="AJ39" s="11">
        <f>IF(AN39=0,J39,0)</f>
        <v>0</v>
      </c>
      <c r="AK39" s="11">
        <f>IF(AN39=12,J39,0)</f>
        <v>0</v>
      </c>
      <c r="AL39" s="11">
        <f>IF(AN39=21,J39,0)</f>
        <v>0</v>
      </c>
      <c r="AN39" s="11">
        <v>21</v>
      </c>
      <c r="AO39" s="11">
        <f>G39*0.824285714</f>
        <v>0</v>
      </c>
      <c r="AP39" s="11">
        <f>G39*(1-0.824285714)</f>
        <v>0</v>
      </c>
      <c r="AQ39" s="12" t="s">
        <v>81</v>
      </c>
      <c r="AV39" s="11">
        <f>ROUND(AW39+AX39,2)</f>
        <v>0</v>
      </c>
      <c r="AW39" s="11">
        <f>ROUND(F39*AO39,2)</f>
        <v>0</v>
      </c>
      <c r="AX39" s="11">
        <f>ROUND(F39*AP39,2)</f>
        <v>0</v>
      </c>
      <c r="AY39" s="12" t="s">
        <v>136</v>
      </c>
      <c r="AZ39" s="12" t="s">
        <v>137</v>
      </c>
      <c r="BA39" s="6" t="s">
        <v>63</v>
      </c>
      <c r="BC39" s="11">
        <f>AW39+AX39</f>
        <v>0</v>
      </c>
      <c r="BD39" s="11">
        <f>G39/(100-BE39)*100</f>
        <v>0</v>
      </c>
      <c r="BE39" s="11">
        <v>0</v>
      </c>
      <c r="BF39" s="11">
        <f>39</f>
        <v>39</v>
      </c>
      <c r="BH39" s="11">
        <f>F39*AO39</f>
        <v>0</v>
      </c>
      <c r="BI39" s="11">
        <f>F39*AP39</f>
        <v>0</v>
      </c>
      <c r="BJ39" s="11">
        <f>F39*G39</f>
        <v>0</v>
      </c>
      <c r="BK39" s="12" t="s">
        <v>64</v>
      </c>
      <c r="BL39" s="11">
        <v>721</v>
      </c>
      <c r="BW39" s="11">
        <v>21</v>
      </c>
      <c r="BX39" s="3" t="s">
        <v>146</v>
      </c>
    </row>
    <row r="40" spans="1:76">
      <c r="A40" s="29" t="s">
        <v>147</v>
      </c>
      <c r="B40" s="2" t="s">
        <v>148</v>
      </c>
      <c r="C40" s="40" t="s">
        <v>149</v>
      </c>
      <c r="D40" s="38"/>
      <c r="E40" s="2" t="s">
        <v>127</v>
      </c>
      <c r="F40" s="11">
        <v>1.8500000000000001E-3</v>
      </c>
      <c r="G40" s="109">
        <v>0</v>
      </c>
      <c r="H40" s="11">
        <f>ROUND(F40*AO40,2)</f>
        <v>0</v>
      </c>
      <c r="I40" s="11">
        <f>ROUND(F40*AP40,2)</f>
        <v>0</v>
      </c>
      <c r="J40" s="11">
        <f>ROUND(F40*G40,2)</f>
        <v>0</v>
      </c>
      <c r="K40" s="108" t="s">
        <v>111</v>
      </c>
      <c r="Z40" s="11">
        <f>ROUND(IF(AQ40="5",BJ40,0),2)</f>
        <v>0</v>
      </c>
      <c r="AB40" s="11">
        <f>ROUND(IF(AQ40="1",BH40,0),2)</f>
        <v>0</v>
      </c>
      <c r="AC40" s="11">
        <f>ROUND(IF(AQ40="1",BI40,0),2)</f>
        <v>0</v>
      </c>
      <c r="AD40" s="11">
        <f>ROUND(IF(AQ40="7",BH40,0),2)</f>
        <v>0</v>
      </c>
      <c r="AE40" s="11">
        <f>ROUND(IF(AQ40="7",BI40,0),2)</f>
        <v>0</v>
      </c>
      <c r="AF40" s="11">
        <f>ROUND(IF(AQ40="2",BH40,0),2)</f>
        <v>0</v>
      </c>
      <c r="AG40" s="11">
        <f>ROUND(IF(AQ40="2",BI40,0),2)</f>
        <v>0</v>
      </c>
      <c r="AH40" s="11">
        <f>ROUND(IF(AQ40="0",BJ40,0),2)</f>
        <v>0</v>
      </c>
      <c r="AI40" s="6" t="s">
        <v>56</v>
      </c>
      <c r="AJ40" s="11">
        <f>IF(AN40=0,J40,0)</f>
        <v>0</v>
      </c>
      <c r="AK40" s="11">
        <f>IF(AN40=12,J40,0)</f>
        <v>0</v>
      </c>
      <c r="AL40" s="11">
        <f>IF(AN40=21,J40,0)</f>
        <v>0</v>
      </c>
      <c r="AN40" s="11">
        <v>21</v>
      </c>
      <c r="AO40" s="11">
        <f>G40*0</f>
        <v>0</v>
      </c>
      <c r="AP40" s="11">
        <f>G40*(1-0)</f>
        <v>0</v>
      </c>
      <c r="AQ40" s="12" t="s">
        <v>74</v>
      </c>
      <c r="AV40" s="11">
        <f>ROUND(AW40+AX40,2)</f>
        <v>0</v>
      </c>
      <c r="AW40" s="11">
        <f>ROUND(F40*AO40,2)</f>
        <v>0</v>
      </c>
      <c r="AX40" s="11">
        <f>ROUND(F40*AP40,2)</f>
        <v>0</v>
      </c>
      <c r="AY40" s="12" t="s">
        <v>136</v>
      </c>
      <c r="AZ40" s="12" t="s">
        <v>137</v>
      </c>
      <c r="BA40" s="6" t="s">
        <v>63</v>
      </c>
      <c r="BC40" s="11">
        <f>AW40+AX40</f>
        <v>0</v>
      </c>
      <c r="BD40" s="11">
        <f>G40/(100-BE40)*100</f>
        <v>0</v>
      </c>
      <c r="BE40" s="11">
        <v>0</v>
      </c>
      <c r="BF40" s="11">
        <f>40</f>
        <v>40</v>
      </c>
      <c r="BH40" s="11">
        <f>F40*AO40</f>
        <v>0</v>
      </c>
      <c r="BI40" s="11">
        <f>F40*AP40</f>
        <v>0</v>
      </c>
      <c r="BJ40" s="11">
        <f>F40*G40</f>
        <v>0</v>
      </c>
      <c r="BK40" s="12" t="s">
        <v>64</v>
      </c>
      <c r="BL40" s="11">
        <v>721</v>
      </c>
      <c r="BW40" s="11">
        <v>21</v>
      </c>
      <c r="BX40" s="3" t="s">
        <v>149</v>
      </c>
    </row>
    <row r="41" spans="1:76">
      <c r="A41" s="29" t="s">
        <v>150</v>
      </c>
      <c r="B41" s="30" t="s">
        <v>151</v>
      </c>
      <c r="C41" s="105" t="s">
        <v>152</v>
      </c>
      <c r="D41" s="70"/>
      <c r="E41" s="30" t="s">
        <v>127</v>
      </c>
      <c r="F41" s="106">
        <v>1.8500000000000001E-3</v>
      </c>
      <c r="G41" s="107">
        <v>0</v>
      </c>
      <c r="H41" s="106">
        <f>ROUND(F41*AO41,2)</f>
        <v>0</v>
      </c>
      <c r="I41" s="106">
        <f>ROUND(F41*AP41,2)</f>
        <v>0</v>
      </c>
      <c r="J41" s="106">
        <f>ROUND(F41*G41,2)</f>
        <v>0</v>
      </c>
      <c r="K41" s="108" t="s">
        <v>111</v>
      </c>
      <c r="Z41" s="11">
        <f>ROUND(IF(AQ41="5",BJ41,0),2)</f>
        <v>0</v>
      </c>
      <c r="AB41" s="11">
        <f>ROUND(IF(AQ41="1",BH41,0),2)</f>
        <v>0</v>
      </c>
      <c r="AC41" s="11">
        <f>ROUND(IF(AQ41="1",BI41,0),2)</f>
        <v>0</v>
      </c>
      <c r="AD41" s="11">
        <f>ROUND(IF(AQ41="7",BH41,0),2)</f>
        <v>0</v>
      </c>
      <c r="AE41" s="11">
        <f>ROUND(IF(AQ41="7",BI41,0),2)</f>
        <v>0</v>
      </c>
      <c r="AF41" s="11">
        <f>ROUND(IF(AQ41="2",BH41,0),2)</f>
        <v>0</v>
      </c>
      <c r="AG41" s="11">
        <f>ROUND(IF(AQ41="2",BI41,0),2)</f>
        <v>0</v>
      </c>
      <c r="AH41" s="11">
        <f>ROUND(IF(AQ41="0",BJ41,0),2)</f>
        <v>0</v>
      </c>
      <c r="AI41" s="6" t="s">
        <v>56</v>
      </c>
      <c r="AJ41" s="11">
        <f>IF(AN41=0,J41,0)</f>
        <v>0</v>
      </c>
      <c r="AK41" s="11">
        <f>IF(AN41=12,J41,0)</f>
        <v>0</v>
      </c>
      <c r="AL41" s="11">
        <f>IF(AN41=21,J41,0)</f>
        <v>0</v>
      </c>
      <c r="AN41" s="11">
        <v>21</v>
      </c>
      <c r="AO41" s="11">
        <f>G41*0</f>
        <v>0</v>
      </c>
      <c r="AP41" s="11">
        <f>G41*(1-0)</f>
        <v>0</v>
      </c>
      <c r="AQ41" s="12" t="s">
        <v>74</v>
      </c>
      <c r="AV41" s="11">
        <f>ROUND(AW41+AX41,2)</f>
        <v>0</v>
      </c>
      <c r="AW41" s="11">
        <f>ROUND(F41*AO41,2)</f>
        <v>0</v>
      </c>
      <c r="AX41" s="11">
        <f>ROUND(F41*AP41,2)</f>
        <v>0</v>
      </c>
      <c r="AY41" s="12" t="s">
        <v>136</v>
      </c>
      <c r="AZ41" s="12" t="s">
        <v>137</v>
      </c>
      <c r="BA41" s="6" t="s">
        <v>63</v>
      </c>
      <c r="BC41" s="11">
        <f>AW41+AX41</f>
        <v>0</v>
      </c>
      <c r="BD41" s="11">
        <f>G41/(100-BE41)*100</f>
        <v>0</v>
      </c>
      <c r="BE41" s="11">
        <v>0</v>
      </c>
      <c r="BF41" s="11">
        <f>41</f>
        <v>41</v>
      </c>
      <c r="BH41" s="11">
        <f>F41*AO41</f>
        <v>0</v>
      </c>
      <c r="BI41" s="11">
        <f>F41*AP41</f>
        <v>0</v>
      </c>
      <c r="BJ41" s="11">
        <f>F41*G41</f>
        <v>0</v>
      </c>
      <c r="BK41" s="12" t="s">
        <v>64</v>
      </c>
      <c r="BL41" s="11">
        <v>721</v>
      </c>
      <c r="BW41" s="11">
        <v>21</v>
      </c>
      <c r="BX41" s="3" t="s">
        <v>152</v>
      </c>
    </row>
    <row r="42" spans="1:76">
      <c r="A42" s="13" t="s">
        <v>52</v>
      </c>
      <c r="B42" s="100" t="s">
        <v>153</v>
      </c>
      <c r="C42" s="101" t="s">
        <v>154</v>
      </c>
      <c r="D42" s="102"/>
      <c r="E42" s="103" t="s">
        <v>4</v>
      </c>
      <c r="F42" s="103" t="s">
        <v>4</v>
      </c>
      <c r="G42" s="97" t="s">
        <v>4</v>
      </c>
      <c r="H42" s="104">
        <f>SUM(H43:H49)</f>
        <v>0</v>
      </c>
      <c r="I42" s="104">
        <f>SUM(I43:I49)</f>
        <v>0</v>
      </c>
      <c r="J42" s="104">
        <f>SUM(J43:J49)</f>
        <v>0</v>
      </c>
      <c r="K42" s="14" t="s">
        <v>52</v>
      </c>
      <c r="AI42" s="6" t="s">
        <v>56</v>
      </c>
      <c r="AS42" s="1">
        <f>SUM(AJ43:AJ49)</f>
        <v>0</v>
      </c>
      <c r="AT42" s="1">
        <f>SUM(AK43:AK49)</f>
        <v>0</v>
      </c>
      <c r="AU42" s="1">
        <f>SUM(AL43:AL49)</f>
        <v>0</v>
      </c>
    </row>
    <row r="43" spans="1:76">
      <c r="A43" s="29" t="s">
        <v>155</v>
      </c>
      <c r="B43" s="30" t="s">
        <v>156</v>
      </c>
      <c r="C43" s="105" t="s">
        <v>157</v>
      </c>
      <c r="D43" s="70"/>
      <c r="E43" s="30" t="s">
        <v>120</v>
      </c>
      <c r="F43" s="106">
        <v>1</v>
      </c>
      <c r="G43" s="107">
        <v>0</v>
      </c>
      <c r="H43" s="106">
        <f>ROUND(F43*AO43,2)</f>
        <v>0</v>
      </c>
      <c r="I43" s="106">
        <f>ROUND(F43*AP43,2)</f>
        <v>0</v>
      </c>
      <c r="J43" s="106">
        <f>ROUND(F43*G43,2)</f>
        <v>0</v>
      </c>
      <c r="K43" s="108" t="s">
        <v>111</v>
      </c>
      <c r="Z43" s="11">
        <f>ROUND(IF(AQ43="5",BJ43,0),2)</f>
        <v>0</v>
      </c>
      <c r="AB43" s="11">
        <f>ROUND(IF(AQ43="1",BH43,0),2)</f>
        <v>0</v>
      </c>
      <c r="AC43" s="11">
        <f>ROUND(IF(AQ43="1",BI43,0),2)</f>
        <v>0</v>
      </c>
      <c r="AD43" s="11">
        <f>ROUND(IF(AQ43="7",BH43,0),2)</f>
        <v>0</v>
      </c>
      <c r="AE43" s="11">
        <f>ROUND(IF(AQ43="7",BI43,0),2)</f>
        <v>0</v>
      </c>
      <c r="AF43" s="11">
        <f>ROUND(IF(AQ43="2",BH43,0),2)</f>
        <v>0</v>
      </c>
      <c r="AG43" s="11">
        <f>ROUND(IF(AQ43="2",BI43,0),2)</f>
        <v>0</v>
      </c>
      <c r="AH43" s="11">
        <f>ROUND(IF(AQ43="0",BJ43,0),2)</f>
        <v>0</v>
      </c>
      <c r="AI43" s="6" t="s">
        <v>56</v>
      </c>
      <c r="AJ43" s="11">
        <f>IF(AN43=0,J43,0)</f>
        <v>0</v>
      </c>
      <c r="AK43" s="11">
        <f>IF(AN43=12,J43,0)</f>
        <v>0</v>
      </c>
      <c r="AL43" s="11">
        <f>IF(AN43=21,J43,0)</f>
        <v>0</v>
      </c>
      <c r="AN43" s="11">
        <v>21</v>
      </c>
      <c r="AO43" s="11">
        <f>G43*0.715333333</f>
        <v>0</v>
      </c>
      <c r="AP43" s="11">
        <f>G43*(1-0.715333333)</f>
        <v>0</v>
      </c>
      <c r="AQ43" s="12" t="s">
        <v>81</v>
      </c>
      <c r="AV43" s="11">
        <f>ROUND(AW43+AX43,2)</f>
        <v>0</v>
      </c>
      <c r="AW43" s="11">
        <f>ROUND(F43*AO43,2)</f>
        <v>0</v>
      </c>
      <c r="AX43" s="11">
        <f>ROUND(F43*AP43,2)</f>
        <v>0</v>
      </c>
      <c r="AY43" s="12" t="s">
        <v>158</v>
      </c>
      <c r="AZ43" s="12" t="s">
        <v>137</v>
      </c>
      <c r="BA43" s="6" t="s">
        <v>63</v>
      </c>
      <c r="BC43" s="11">
        <f>AW43+AX43</f>
        <v>0</v>
      </c>
      <c r="BD43" s="11">
        <f>G43/(100-BE43)*100</f>
        <v>0</v>
      </c>
      <c r="BE43" s="11">
        <v>0</v>
      </c>
      <c r="BF43" s="11">
        <f>43</f>
        <v>43</v>
      </c>
      <c r="BH43" s="11">
        <f>F43*AO43</f>
        <v>0</v>
      </c>
      <c r="BI43" s="11">
        <f>F43*AP43</f>
        <v>0</v>
      </c>
      <c r="BJ43" s="11">
        <f>F43*G43</f>
        <v>0</v>
      </c>
      <c r="BK43" s="12" t="s">
        <v>64</v>
      </c>
      <c r="BL43" s="11">
        <v>722</v>
      </c>
      <c r="BW43" s="11">
        <v>21</v>
      </c>
      <c r="BX43" s="3" t="s">
        <v>157</v>
      </c>
    </row>
    <row r="44" spans="1:76">
      <c r="A44" s="29" t="s">
        <v>159</v>
      </c>
      <c r="B44" s="2" t="s">
        <v>160</v>
      </c>
      <c r="C44" s="40" t="s">
        <v>161</v>
      </c>
      <c r="D44" s="38"/>
      <c r="E44" s="2" t="s">
        <v>120</v>
      </c>
      <c r="F44" s="11">
        <v>1</v>
      </c>
      <c r="G44" s="109">
        <v>0</v>
      </c>
      <c r="H44" s="11">
        <f>ROUND(F44*AO44,2)</f>
        <v>0</v>
      </c>
      <c r="I44" s="11">
        <f>ROUND(F44*AP44,2)</f>
        <v>0</v>
      </c>
      <c r="J44" s="11">
        <f>ROUND(F44*G44,2)</f>
        <v>0</v>
      </c>
      <c r="K44" s="108" t="s">
        <v>111</v>
      </c>
      <c r="Z44" s="11">
        <f>ROUND(IF(AQ44="5",BJ44,0),2)</f>
        <v>0</v>
      </c>
      <c r="AB44" s="11">
        <f>ROUND(IF(AQ44="1",BH44,0),2)</f>
        <v>0</v>
      </c>
      <c r="AC44" s="11">
        <f>ROUND(IF(AQ44="1",BI44,0),2)</f>
        <v>0</v>
      </c>
      <c r="AD44" s="11">
        <f>ROUND(IF(AQ44="7",BH44,0),2)</f>
        <v>0</v>
      </c>
      <c r="AE44" s="11">
        <f>ROUND(IF(AQ44="7",BI44,0),2)</f>
        <v>0</v>
      </c>
      <c r="AF44" s="11">
        <f>ROUND(IF(AQ44="2",BH44,0),2)</f>
        <v>0</v>
      </c>
      <c r="AG44" s="11">
        <f>ROUND(IF(AQ44="2",BI44,0),2)</f>
        <v>0</v>
      </c>
      <c r="AH44" s="11">
        <f>ROUND(IF(AQ44="0",BJ44,0),2)</f>
        <v>0</v>
      </c>
      <c r="AI44" s="6" t="s">
        <v>56</v>
      </c>
      <c r="AJ44" s="11">
        <f>IF(AN44=0,J44,0)</f>
        <v>0</v>
      </c>
      <c r="AK44" s="11">
        <f>IF(AN44=12,J44,0)</f>
        <v>0</v>
      </c>
      <c r="AL44" s="11">
        <f>IF(AN44=21,J44,0)</f>
        <v>0</v>
      </c>
      <c r="AN44" s="11">
        <v>21</v>
      </c>
      <c r="AO44" s="11">
        <f>G44*0.017940199</f>
        <v>0</v>
      </c>
      <c r="AP44" s="11">
        <f>G44*(1-0.017940199)</f>
        <v>0</v>
      </c>
      <c r="AQ44" s="12" t="s">
        <v>81</v>
      </c>
      <c r="AV44" s="11">
        <f>ROUND(AW44+AX44,2)</f>
        <v>0</v>
      </c>
      <c r="AW44" s="11">
        <f>ROUND(F44*AO44,2)</f>
        <v>0</v>
      </c>
      <c r="AX44" s="11">
        <f>ROUND(F44*AP44,2)</f>
        <v>0</v>
      </c>
      <c r="AY44" s="12" t="s">
        <v>158</v>
      </c>
      <c r="AZ44" s="12" t="s">
        <v>137</v>
      </c>
      <c r="BA44" s="6" t="s">
        <v>63</v>
      </c>
      <c r="BC44" s="11">
        <f>AW44+AX44</f>
        <v>0</v>
      </c>
      <c r="BD44" s="11">
        <f>G44/(100-BE44)*100</f>
        <v>0</v>
      </c>
      <c r="BE44" s="11">
        <v>0</v>
      </c>
      <c r="BF44" s="11">
        <f>44</f>
        <v>44</v>
      </c>
      <c r="BH44" s="11">
        <f>F44*AO44</f>
        <v>0</v>
      </c>
      <c r="BI44" s="11">
        <f>F44*AP44</f>
        <v>0</v>
      </c>
      <c r="BJ44" s="11">
        <f>F44*G44</f>
        <v>0</v>
      </c>
      <c r="BK44" s="12" t="s">
        <v>64</v>
      </c>
      <c r="BL44" s="11">
        <v>722</v>
      </c>
      <c r="BW44" s="11">
        <v>21</v>
      </c>
      <c r="BX44" s="3" t="s">
        <v>161</v>
      </c>
    </row>
    <row r="45" spans="1:76">
      <c r="A45" s="29" t="s">
        <v>162</v>
      </c>
      <c r="B45" s="2" t="s">
        <v>163</v>
      </c>
      <c r="C45" s="40" t="s">
        <v>164</v>
      </c>
      <c r="D45" s="38"/>
      <c r="E45" s="2" t="s">
        <v>60</v>
      </c>
      <c r="F45" s="11">
        <v>2</v>
      </c>
      <c r="G45" s="109">
        <v>0</v>
      </c>
      <c r="H45" s="11">
        <f>ROUND(F45*AO45,2)</f>
        <v>0</v>
      </c>
      <c r="I45" s="11">
        <f>ROUND(F45*AP45,2)</f>
        <v>0</v>
      </c>
      <c r="J45" s="11">
        <f>ROUND(F45*G45,2)</f>
        <v>0</v>
      </c>
      <c r="K45" s="108" t="s">
        <v>111</v>
      </c>
      <c r="Z45" s="11">
        <f>ROUND(IF(AQ45="5",BJ45,0),2)</f>
        <v>0</v>
      </c>
      <c r="AB45" s="11">
        <f>ROUND(IF(AQ45="1",BH45,0),2)</f>
        <v>0</v>
      </c>
      <c r="AC45" s="11">
        <f>ROUND(IF(AQ45="1",BI45,0),2)</f>
        <v>0</v>
      </c>
      <c r="AD45" s="11">
        <f>ROUND(IF(AQ45="7",BH45,0),2)</f>
        <v>0</v>
      </c>
      <c r="AE45" s="11">
        <f>ROUND(IF(AQ45="7",BI45,0),2)</f>
        <v>0</v>
      </c>
      <c r="AF45" s="11">
        <f>ROUND(IF(AQ45="2",BH45,0),2)</f>
        <v>0</v>
      </c>
      <c r="AG45" s="11">
        <f>ROUND(IF(AQ45="2",BI45,0),2)</f>
        <v>0</v>
      </c>
      <c r="AH45" s="11">
        <f>ROUND(IF(AQ45="0",BJ45,0),2)</f>
        <v>0</v>
      </c>
      <c r="AI45" s="6" t="s">
        <v>56</v>
      </c>
      <c r="AJ45" s="11">
        <f>IF(AN45=0,J45,0)</f>
        <v>0</v>
      </c>
      <c r="AK45" s="11">
        <f>IF(AN45=12,J45,0)</f>
        <v>0</v>
      </c>
      <c r="AL45" s="11">
        <f>IF(AN45=21,J45,0)</f>
        <v>0</v>
      </c>
      <c r="AN45" s="11">
        <v>21</v>
      </c>
      <c r="AO45" s="11">
        <f>G45*0</f>
        <v>0</v>
      </c>
      <c r="AP45" s="11">
        <f>G45*(1-0)</f>
        <v>0</v>
      </c>
      <c r="AQ45" s="12" t="s">
        <v>81</v>
      </c>
      <c r="AV45" s="11">
        <f>ROUND(AW45+AX45,2)</f>
        <v>0</v>
      </c>
      <c r="AW45" s="11">
        <f>ROUND(F45*AO45,2)</f>
        <v>0</v>
      </c>
      <c r="AX45" s="11">
        <f>ROUND(F45*AP45,2)</f>
        <v>0</v>
      </c>
      <c r="AY45" s="12" t="s">
        <v>158</v>
      </c>
      <c r="AZ45" s="12" t="s">
        <v>137</v>
      </c>
      <c r="BA45" s="6" t="s">
        <v>63</v>
      </c>
      <c r="BC45" s="11">
        <f>AW45+AX45</f>
        <v>0</v>
      </c>
      <c r="BD45" s="11">
        <f>G45/(100-BE45)*100</f>
        <v>0</v>
      </c>
      <c r="BE45" s="11">
        <v>0</v>
      </c>
      <c r="BF45" s="11">
        <f>45</f>
        <v>45</v>
      </c>
      <c r="BH45" s="11">
        <f>F45*AO45</f>
        <v>0</v>
      </c>
      <c r="BI45" s="11">
        <f>F45*AP45</f>
        <v>0</v>
      </c>
      <c r="BJ45" s="11">
        <f>F45*G45</f>
        <v>0</v>
      </c>
      <c r="BK45" s="12" t="s">
        <v>64</v>
      </c>
      <c r="BL45" s="11">
        <v>722</v>
      </c>
      <c r="BW45" s="11">
        <v>21</v>
      </c>
      <c r="BX45" s="3" t="s">
        <v>164</v>
      </c>
    </row>
    <row r="46" spans="1:76">
      <c r="A46" s="29" t="s">
        <v>165</v>
      </c>
      <c r="B46" s="2" t="s">
        <v>166</v>
      </c>
      <c r="C46" s="40" t="s">
        <v>167</v>
      </c>
      <c r="D46" s="38"/>
      <c r="E46" s="2" t="s">
        <v>60</v>
      </c>
      <c r="F46" s="11">
        <v>1</v>
      </c>
      <c r="G46" s="109">
        <v>0</v>
      </c>
      <c r="H46" s="11">
        <f>ROUND(F46*AO46,2)</f>
        <v>0</v>
      </c>
      <c r="I46" s="11">
        <f>ROUND(F46*AP46,2)</f>
        <v>0</v>
      </c>
      <c r="J46" s="11">
        <f>ROUND(F46*G46,2)</f>
        <v>0</v>
      </c>
      <c r="K46" s="108" t="s">
        <v>111</v>
      </c>
      <c r="Z46" s="11">
        <f>ROUND(IF(AQ46="5",BJ46,0),2)</f>
        <v>0</v>
      </c>
      <c r="AB46" s="11">
        <f>ROUND(IF(AQ46="1",BH46,0),2)</f>
        <v>0</v>
      </c>
      <c r="AC46" s="11">
        <f>ROUND(IF(AQ46="1",BI46,0),2)</f>
        <v>0</v>
      </c>
      <c r="AD46" s="11">
        <f>ROUND(IF(AQ46="7",BH46,0),2)</f>
        <v>0</v>
      </c>
      <c r="AE46" s="11">
        <f>ROUND(IF(AQ46="7",BI46,0),2)</f>
        <v>0</v>
      </c>
      <c r="AF46" s="11">
        <f>ROUND(IF(AQ46="2",BH46,0),2)</f>
        <v>0</v>
      </c>
      <c r="AG46" s="11">
        <f>ROUND(IF(AQ46="2",BI46,0),2)</f>
        <v>0</v>
      </c>
      <c r="AH46" s="11">
        <f>ROUND(IF(AQ46="0",BJ46,0),2)</f>
        <v>0</v>
      </c>
      <c r="AI46" s="6" t="s">
        <v>56</v>
      </c>
      <c r="AJ46" s="11">
        <f>IF(AN46=0,J46,0)</f>
        <v>0</v>
      </c>
      <c r="AK46" s="11">
        <f>IF(AN46=12,J46,0)</f>
        <v>0</v>
      </c>
      <c r="AL46" s="11">
        <f>IF(AN46=21,J46,0)</f>
        <v>0</v>
      </c>
      <c r="AN46" s="11">
        <v>21</v>
      </c>
      <c r="AO46" s="11">
        <f>G46*0.820638554</f>
        <v>0</v>
      </c>
      <c r="AP46" s="11">
        <f>G46*(1-0.820638554)</f>
        <v>0</v>
      </c>
      <c r="AQ46" s="12" t="s">
        <v>81</v>
      </c>
      <c r="AV46" s="11">
        <f>ROUND(AW46+AX46,2)</f>
        <v>0</v>
      </c>
      <c r="AW46" s="11">
        <f>ROUND(F46*AO46,2)</f>
        <v>0</v>
      </c>
      <c r="AX46" s="11">
        <f>ROUND(F46*AP46,2)</f>
        <v>0</v>
      </c>
      <c r="AY46" s="12" t="s">
        <v>158</v>
      </c>
      <c r="AZ46" s="12" t="s">
        <v>137</v>
      </c>
      <c r="BA46" s="6" t="s">
        <v>63</v>
      </c>
      <c r="BC46" s="11">
        <f>AW46+AX46</f>
        <v>0</v>
      </c>
      <c r="BD46" s="11">
        <f>G46/(100-BE46)*100</f>
        <v>0</v>
      </c>
      <c r="BE46" s="11">
        <v>0</v>
      </c>
      <c r="BF46" s="11">
        <f>46</f>
        <v>46</v>
      </c>
      <c r="BH46" s="11">
        <f>F46*AO46</f>
        <v>0</v>
      </c>
      <c r="BI46" s="11">
        <f>F46*AP46</f>
        <v>0</v>
      </c>
      <c r="BJ46" s="11">
        <f>F46*G46</f>
        <v>0</v>
      </c>
      <c r="BK46" s="12" t="s">
        <v>64</v>
      </c>
      <c r="BL46" s="11">
        <v>722</v>
      </c>
      <c r="BW46" s="11">
        <v>21</v>
      </c>
      <c r="BX46" s="3" t="s">
        <v>167</v>
      </c>
    </row>
    <row r="47" spans="1:76">
      <c r="A47" s="29" t="s">
        <v>168</v>
      </c>
      <c r="B47" s="2" t="s">
        <v>169</v>
      </c>
      <c r="C47" s="40" t="s">
        <v>170</v>
      </c>
      <c r="D47" s="38"/>
      <c r="E47" s="2" t="s">
        <v>60</v>
      </c>
      <c r="F47" s="11">
        <v>1</v>
      </c>
      <c r="G47" s="109">
        <v>0</v>
      </c>
      <c r="H47" s="11">
        <f>ROUND(F47*AO47,2)</f>
        <v>0</v>
      </c>
      <c r="I47" s="11">
        <f>ROUND(F47*AP47,2)</f>
        <v>0</v>
      </c>
      <c r="J47" s="11">
        <f>ROUND(F47*G47,2)</f>
        <v>0</v>
      </c>
      <c r="K47" s="108" t="s">
        <v>111</v>
      </c>
      <c r="Z47" s="11">
        <f>ROUND(IF(AQ47="5",BJ47,0),2)</f>
        <v>0</v>
      </c>
      <c r="AB47" s="11">
        <f>ROUND(IF(AQ47="1",BH47,0),2)</f>
        <v>0</v>
      </c>
      <c r="AC47" s="11">
        <f>ROUND(IF(AQ47="1",BI47,0),2)</f>
        <v>0</v>
      </c>
      <c r="AD47" s="11">
        <f>ROUND(IF(AQ47="7",BH47,0),2)</f>
        <v>0</v>
      </c>
      <c r="AE47" s="11">
        <f>ROUND(IF(AQ47="7",BI47,0),2)</f>
        <v>0</v>
      </c>
      <c r="AF47" s="11">
        <f>ROUND(IF(AQ47="2",BH47,0),2)</f>
        <v>0</v>
      </c>
      <c r="AG47" s="11">
        <f>ROUND(IF(AQ47="2",BI47,0),2)</f>
        <v>0</v>
      </c>
      <c r="AH47" s="11">
        <f>ROUND(IF(AQ47="0",BJ47,0),2)</f>
        <v>0</v>
      </c>
      <c r="AI47" s="6" t="s">
        <v>56</v>
      </c>
      <c r="AJ47" s="11">
        <f>IF(AN47=0,J47,0)</f>
        <v>0</v>
      </c>
      <c r="AK47" s="11">
        <f>IF(AN47=12,J47,0)</f>
        <v>0</v>
      </c>
      <c r="AL47" s="11">
        <f>IF(AN47=21,J47,0)</f>
        <v>0</v>
      </c>
      <c r="AN47" s="11">
        <v>21</v>
      </c>
      <c r="AO47" s="11">
        <f>G47*0.810235819</f>
        <v>0</v>
      </c>
      <c r="AP47" s="11">
        <f>G47*(1-0.810235819)</f>
        <v>0</v>
      </c>
      <c r="AQ47" s="12" t="s">
        <v>81</v>
      </c>
      <c r="AV47" s="11">
        <f>ROUND(AW47+AX47,2)</f>
        <v>0</v>
      </c>
      <c r="AW47" s="11">
        <f>ROUND(F47*AO47,2)</f>
        <v>0</v>
      </c>
      <c r="AX47" s="11">
        <f>ROUND(F47*AP47,2)</f>
        <v>0</v>
      </c>
      <c r="AY47" s="12" t="s">
        <v>158</v>
      </c>
      <c r="AZ47" s="12" t="s">
        <v>137</v>
      </c>
      <c r="BA47" s="6" t="s">
        <v>63</v>
      </c>
      <c r="BC47" s="11">
        <f>AW47+AX47</f>
        <v>0</v>
      </c>
      <c r="BD47" s="11">
        <f>G47/(100-BE47)*100</f>
        <v>0</v>
      </c>
      <c r="BE47" s="11">
        <v>0</v>
      </c>
      <c r="BF47" s="11">
        <f>47</f>
        <v>47</v>
      </c>
      <c r="BH47" s="11">
        <f>F47*AO47</f>
        <v>0</v>
      </c>
      <c r="BI47" s="11">
        <f>F47*AP47</f>
        <v>0</v>
      </c>
      <c r="BJ47" s="11">
        <f>F47*G47</f>
        <v>0</v>
      </c>
      <c r="BK47" s="12" t="s">
        <v>64</v>
      </c>
      <c r="BL47" s="11">
        <v>722</v>
      </c>
      <c r="BW47" s="11">
        <v>21</v>
      </c>
      <c r="BX47" s="3" t="s">
        <v>170</v>
      </c>
    </row>
    <row r="48" spans="1:76">
      <c r="A48" s="29" t="s">
        <v>171</v>
      </c>
      <c r="B48" s="2" t="s">
        <v>172</v>
      </c>
      <c r="C48" s="40" t="s">
        <v>173</v>
      </c>
      <c r="D48" s="38"/>
      <c r="E48" s="2" t="s">
        <v>127</v>
      </c>
      <c r="F48" s="11">
        <v>4.6899999999999997E-3</v>
      </c>
      <c r="G48" s="109">
        <v>0</v>
      </c>
      <c r="H48" s="11">
        <f>ROUND(F48*AO48,2)</f>
        <v>0</v>
      </c>
      <c r="I48" s="11">
        <f>ROUND(F48*AP48,2)</f>
        <v>0</v>
      </c>
      <c r="J48" s="11">
        <f>ROUND(F48*G48,2)</f>
        <v>0</v>
      </c>
      <c r="K48" s="108" t="s">
        <v>111</v>
      </c>
      <c r="Z48" s="11">
        <f>ROUND(IF(AQ48="5",BJ48,0),2)</f>
        <v>0</v>
      </c>
      <c r="AB48" s="11">
        <f>ROUND(IF(AQ48="1",BH48,0),2)</f>
        <v>0</v>
      </c>
      <c r="AC48" s="11">
        <f>ROUND(IF(AQ48="1",BI48,0),2)</f>
        <v>0</v>
      </c>
      <c r="AD48" s="11">
        <f>ROUND(IF(AQ48="7",BH48,0),2)</f>
        <v>0</v>
      </c>
      <c r="AE48" s="11">
        <f>ROUND(IF(AQ48="7",BI48,0),2)</f>
        <v>0</v>
      </c>
      <c r="AF48" s="11">
        <f>ROUND(IF(AQ48="2",BH48,0),2)</f>
        <v>0</v>
      </c>
      <c r="AG48" s="11">
        <f>ROUND(IF(AQ48="2",BI48,0),2)</f>
        <v>0</v>
      </c>
      <c r="AH48" s="11">
        <f>ROUND(IF(AQ48="0",BJ48,0),2)</f>
        <v>0</v>
      </c>
      <c r="AI48" s="6" t="s">
        <v>56</v>
      </c>
      <c r="AJ48" s="11">
        <f>IF(AN48=0,J48,0)</f>
        <v>0</v>
      </c>
      <c r="AK48" s="11">
        <f>IF(AN48=12,J48,0)</f>
        <v>0</v>
      </c>
      <c r="AL48" s="11">
        <f>IF(AN48=21,J48,0)</f>
        <v>0</v>
      </c>
      <c r="AN48" s="11">
        <v>21</v>
      </c>
      <c r="AO48" s="11">
        <f>G48*0</f>
        <v>0</v>
      </c>
      <c r="AP48" s="11">
        <f>G48*(1-0)</f>
        <v>0</v>
      </c>
      <c r="AQ48" s="12" t="s">
        <v>74</v>
      </c>
      <c r="AV48" s="11">
        <f>ROUND(AW48+AX48,2)</f>
        <v>0</v>
      </c>
      <c r="AW48" s="11">
        <f>ROUND(F48*AO48,2)</f>
        <v>0</v>
      </c>
      <c r="AX48" s="11">
        <f>ROUND(F48*AP48,2)</f>
        <v>0</v>
      </c>
      <c r="AY48" s="12" t="s">
        <v>158</v>
      </c>
      <c r="AZ48" s="12" t="s">
        <v>137</v>
      </c>
      <c r="BA48" s="6" t="s">
        <v>63</v>
      </c>
      <c r="BC48" s="11">
        <f>AW48+AX48</f>
        <v>0</v>
      </c>
      <c r="BD48" s="11">
        <f>G48/(100-BE48)*100</f>
        <v>0</v>
      </c>
      <c r="BE48" s="11">
        <v>0</v>
      </c>
      <c r="BF48" s="11">
        <f>48</f>
        <v>48</v>
      </c>
      <c r="BH48" s="11">
        <f>F48*AO48</f>
        <v>0</v>
      </c>
      <c r="BI48" s="11">
        <f>F48*AP48</f>
        <v>0</v>
      </c>
      <c r="BJ48" s="11">
        <f>F48*G48</f>
        <v>0</v>
      </c>
      <c r="BK48" s="12" t="s">
        <v>64</v>
      </c>
      <c r="BL48" s="11">
        <v>722</v>
      </c>
      <c r="BW48" s="11">
        <v>21</v>
      </c>
      <c r="BX48" s="3" t="s">
        <v>173</v>
      </c>
    </row>
    <row r="49" spans="1:76">
      <c r="A49" s="29" t="s">
        <v>174</v>
      </c>
      <c r="B49" s="30" t="s">
        <v>175</v>
      </c>
      <c r="C49" s="105" t="s">
        <v>176</v>
      </c>
      <c r="D49" s="70"/>
      <c r="E49" s="30" t="s">
        <v>127</v>
      </c>
      <c r="F49" s="106">
        <v>4.6899999999999997E-3</v>
      </c>
      <c r="G49" s="107">
        <v>0</v>
      </c>
      <c r="H49" s="106">
        <f>ROUND(F49*AO49,2)</f>
        <v>0</v>
      </c>
      <c r="I49" s="106">
        <f>ROUND(F49*AP49,2)</f>
        <v>0</v>
      </c>
      <c r="J49" s="106">
        <f>ROUND(F49*G49,2)</f>
        <v>0</v>
      </c>
      <c r="K49" s="108" t="s">
        <v>111</v>
      </c>
      <c r="Z49" s="11">
        <f>ROUND(IF(AQ49="5",BJ49,0),2)</f>
        <v>0</v>
      </c>
      <c r="AB49" s="11">
        <f>ROUND(IF(AQ49="1",BH49,0),2)</f>
        <v>0</v>
      </c>
      <c r="AC49" s="11">
        <f>ROUND(IF(AQ49="1",BI49,0),2)</f>
        <v>0</v>
      </c>
      <c r="AD49" s="11">
        <f>ROUND(IF(AQ49="7",BH49,0),2)</f>
        <v>0</v>
      </c>
      <c r="AE49" s="11">
        <f>ROUND(IF(AQ49="7",BI49,0),2)</f>
        <v>0</v>
      </c>
      <c r="AF49" s="11">
        <f>ROUND(IF(AQ49="2",BH49,0),2)</f>
        <v>0</v>
      </c>
      <c r="AG49" s="11">
        <f>ROUND(IF(AQ49="2",BI49,0),2)</f>
        <v>0</v>
      </c>
      <c r="AH49" s="11">
        <f>ROUND(IF(AQ49="0",BJ49,0),2)</f>
        <v>0</v>
      </c>
      <c r="AI49" s="6" t="s">
        <v>56</v>
      </c>
      <c r="AJ49" s="11">
        <f>IF(AN49=0,J49,0)</f>
        <v>0</v>
      </c>
      <c r="AK49" s="11">
        <f>IF(AN49=12,J49,0)</f>
        <v>0</v>
      </c>
      <c r="AL49" s="11">
        <f>IF(AN49=21,J49,0)</f>
        <v>0</v>
      </c>
      <c r="AN49" s="11">
        <v>21</v>
      </c>
      <c r="AO49" s="11">
        <f>G49*0</f>
        <v>0</v>
      </c>
      <c r="AP49" s="11">
        <f>G49*(1-0)</f>
        <v>0</v>
      </c>
      <c r="AQ49" s="12" t="s">
        <v>74</v>
      </c>
      <c r="AV49" s="11">
        <f>ROUND(AW49+AX49,2)</f>
        <v>0</v>
      </c>
      <c r="AW49" s="11">
        <f>ROUND(F49*AO49,2)</f>
        <v>0</v>
      </c>
      <c r="AX49" s="11">
        <f>ROUND(F49*AP49,2)</f>
        <v>0</v>
      </c>
      <c r="AY49" s="12" t="s">
        <v>158</v>
      </c>
      <c r="AZ49" s="12" t="s">
        <v>137</v>
      </c>
      <c r="BA49" s="6" t="s">
        <v>63</v>
      </c>
      <c r="BC49" s="11">
        <f>AW49+AX49</f>
        <v>0</v>
      </c>
      <c r="BD49" s="11">
        <f>G49/(100-BE49)*100</f>
        <v>0</v>
      </c>
      <c r="BE49" s="11">
        <v>0</v>
      </c>
      <c r="BF49" s="11">
        <f>49</f>
        <v>49</v>
      </c>
      <c r="BH49" s="11">
        <f>F49*AO49</f>
        <v>0</v>
      </c>
      <c r="BI49" s="11">
        <f>F49*AP49</f>
        <v>0</v>
      </c>
      <c r="BJ49" s="11">
        <f>F49*G49</f>
        <v>0</v>
      </c>
      <c r="BK49" s="12" t="s">
        <v>64</v>
      </c>
      <c r="BL49" s="11">
        <v>722</v>
      </c>
      <c r="BW49" s="11">
        <v>21</v>
      </c>
      <c r="BX49" s="3" t="s">
        <v>176</v>
      </c>
    </row>
    <row r="50" spans="1:76">
      <c r="A50" s="13" t="s">
        <v>52</v>
      </c>
      <c r="B50" s="100" t="s">
        <v>177</v>
      </c>
      <c r="C50" s="101" t="s">
        <v>178</v>
      </c>
      <c r="D50" s="102"/>
      <c r="E50" s="103" t="s">
        <v>4</v>
      </c>
      <c r="F50" s="103" t="s">
        <v>4</v>
      </c>
      <c r="G50" s="97" t="s">
        <v>4</v>
      </c>
      <c r="H50" s="104">
        <f>SUM(H51:H73)</f>
        <v>0</v>
      </c>
      <c r="I50" s="104">
        <f>SUM(I51:I73)</f>
        <v>0</v>
      </c>
      <c r="J50" s="104">
        <f>SUM(J51:J73)</f>
        <v>0</v>
      </c>
      <c r="K50" s="14" t="s">
        <v>52</v>
      </c>
      <c r="AI50" s="6" t="s">
        <v>56</v>
      </c>
      <c r="AS50" s="1">
        <f>SUM(AJ51:AJ73)</f>
        <v>0</v>
      </c>
      <c r="AT50" s="1">
        <f>SUM(AK51:AK73)</f>
        <v>0</v>
      </c>
      <c r="AU50" s="1">
        <f>SUM(AL51:AL73)</f>
        <v>0</v>
      </c>
    </row>
    <row r="51" spans="1:76">
      <c r="A51" s="29" t="s">
        <v>179</v>
      </c>
      <c r="B51" s="30" t="s">
        <v>180</v>
      </c>
      <c r="C51" s="105" t="s">
        <v>181</v>
      </c>
      <c r="D51" s="70"/>
      <c r="E51" s="30" t="s">
        <v>120</v>
      </c>
      <c r="F51" s="106">
        <v>10</v>
      </c>
      <c r="G51" s="107">
        <v>0</v>
      </c>
      <c r="H51" s="106">
        <f>ROUND(F51*AO51,2)</f>
        <v>0</v>
      </c>
      <c r="I51" s="106">
        <f>ROUND(F51*AP51,2)</f>
        <v>0</v>
      </c>
      <c r="J51" s="106">
        <f>ROUND(F51*G51,2)</f>
        <v>0</v>
      </c>
      <c r="K51" s="108" t="s">
        <v>111</v>
      </c>
      <c r="Z51" s="11">
        <f>ROUND(IF(AQ51="5",BJ51,0),2)</f>
        <v>0</v>
      </c>
      <c r="AB51" s="11">
        <f>ROUND(IF(AQ51="1",BH51,0),2)</f>
        <v>0</v>
      </c>
      <c r="AC51" s="11">
        <f>ROUND(IF(AQ51="1",BI51,0),2)</f>
        <v>0</v>
      </c>
      <c r="AD51" s="11">
        <f>ROUND(IF(AQ51="7",BH51,0),2)</f>
        <v>0</v>
      </c>
      <c r="AE51" s="11">
        <f>ROUND(IF(AQ51="7",BI51,0),2)</f>
        <v>0</v>
      </c>
      <c r="AF51" s="11">
        <f>ROUND(IF(AQ51="2",BH51,0),2)</f>
        <v>0</v>
      </c>
      <c r="AG51" s="11">
        <f>ROUND(IF(AQ51="2",BI51,0),2)</f>
        <v>0</v>
      </c>
      <c r="AH51" s="11">
        <f>ROUND(IF(AQ51="0",BJ51,0),2)</f>
        <v>0</v>
      </c>
      <c r="AI51" s="6" t="s">
        <v>56</v>
      </c>
      <c r="AJ51" s="11">
        <f>IF(AN51=0,J51,0)</f>
        <v>0</v>
      </c>
      <c r="AK51" s="11">
        <f>IF(AN51=12,J51,0)</f>
        <v>0</v>
      </c>
      <c r="AL51" s="11">
        <f>IF(AN51=21,J51,0)</f>
        <v>0</v>
      </c>
      <c r="AN51" s="11">
        <v>21</v>
      </c>
      <c r="AO51" s="11">
        <f>G51*0.819728507</f>
        <v>0</v>
      </c>
      <c r="AP51" s="11">
        <f>G51*(1-0.819728507)</f>
        <v>0</v>
      </c>
      <c r="AQ51" s="12" t="s">
        <v>81</v>
      </c>
      <c r="AV51" s="11">
        <f>ROUND(AW51+AX51,2)</f>
        <v>0</v>
      </c>
      <c r="AW51" s="11">
        <f>ROUND(F51*AO51,2)</f>
        <v>0</v>
      </c>
      <c r="AX51" s="11">
        <f>ROUND(F51*AP51,2)</f>
        <v>0</v>
      </c>
      <c r="AY51" s="12" t="s">
        <v>182</v>
      </c>
      <c r="AZ51" s="12" t="s">
        <v>183</v>
      </c>
      <c r="BA51" s="6" t="s">
        <v>63</v>
      </c>
      <c r="BC51" s="11">
        <f>AW51+AX51</f>
        <v>0</v>
      </c>
      <c r="BD51" s="11">
        <f>G51/(100-BE51)*100</f>
        <v>0</v>
      </c>
      <c r="BE51" s="11">
        <v>0</v>
      </c>
      <c r="BF51" s="11">
        <f>51</f>
        <v>51</v>
      </c>
      <c r="BH51" s="11">
        <f>F51*AO51</f>
        <v>0</v>
      </c>
      <c r="BI51" s="11">
        <f>F51*AP51</f>
        <v>0</v>
      </c>
      <c r="BJ51" s="11">
        <f>F51*G51</f>
        <v>0</v>
      </c>
      <c r="BK51" s="12" t="s">
        <v>64</v>
      </c>
      <c r="BL51" s="11">
        <v>731</v>
      </c>
      <c r="BW51" s="11">
        <v>21</v>
      </c>
      <c r="BX51" s="3" t="s">
        <v>181</v>
      </c>
    </row>
    <row r="52" spans="1:76">
      <c r="A52" s="29" t="s">
        <v>184</v>
      </c>
      <c r="B52" s="2" t="s">
        <v>185</v>
      </c>
      <c r="C52" s="40" t="s">
        <v>186</v>
      </c>
      <c r="D52" s="38"/>
      <c r="E52" s="2" t="s">
        <v>120</v>
      </c>
      <c r="F52" s="11">
        <v>4</v>
      </c>
      <c r="G52" s="109">
        <v>0</v>
      </c>
      <c r="H52" s="11">
        <f>ROUND(F52*AO52,2)</f>
        <v>0</v>
      </c>
      <c r="I52" s="11">
        <f>ROUND(F52*AP52,2)</f>
        <v>0</v>
      </c>
      <c r="J52" s="11">
        <f>ROUND(F52*G52,2)</f>
        <v>0</v>
      </c>
      <c r="K52" s="108" t="s">
        <v>111</v>
      </c>
      <c r="Z52" s="11">
        <f>ROUND(IF(AQ52="5",BJ52,0),2)</f>
        <v>0</v>
      </c>
      <c r="AB52" s="11">
        <f>ROUND(IF(AQ52="1",BH52,0),2)</f>
        <v>0</v>
      </c>
      <c r="AC52" s="11">
        <f>ROUND(IF(AQ52="1",BI52,0),2)</f>
        <v>0</v>
      </c>
      <c r="AD52" s="11">
        <f>ROUND(IF(AQ52="7",BH52,0),2)</f>
        <v>0</v>
      </c>
      <c r="AE52" s="11">
        <f>ROUND(IF(AQ52="7",BI52,0),2)</f>
        <v>0</v>
      </c>
      <c r="AF52" s="11">
        <f>ROUND(IF(AQ52="2",BH52,0),2)</f>
        <v>0</v>
      </c>
      <c r="AG52" s="11">
        <f>ROUND(IF(AQ52="2",BI52,0),2)</f>
        <v>0</v>
      </c>
      <c r="AH52" s="11">
        <f>ROUND(IF(AQ52="0",BJ52,0),2)</f>
        <v>0</v>
      </c>
      <c r="AI52" s="6" t="s">
        <v>56</v>
      </c>
      <c r="AJ52" s="11">
        <f>IF(AN52=0,J52,0)</f>
        <v>0</v>
      </c>
      <c r="AK52" s="11">
        <f>IF(AN52=12,J52,0)</f>
        <v>0</v>
      </c>
      <c r="AL52" s="11">
        <f>IF(AN52=21,J52,0)</f>
        <v>0</v>
      </c>
      <c r="AN52" s="11">
        <v>21</v>
      </c>
      <c r="AO52" s="11">
        <f>G52*0</f>
        <v>0</v>
      </c>
      <c r="AP52" s="11">
        <f>G52*(1-0)</f>
        <v>0</v>
      </c>
      <c r="AQ52" s="12" t="s">
        <v>65</v>
      </c>
      <c r="AV52" s="11">
        <f>ROUND(AW52+AX52,2)</f>
        <v>0</v>
      </c>
      <c r="AW52" s="11">
        <f>ROUND(F52*AO52,2)</f>
        <v>0</v>
      </c>
      <c r="AX52" s="11">
        <f>ROUND(F52*AP52,2)</f>
        <v>0</v>
      </c>
      <c r="AY52" s="12" t="s">
        <v>182</v>
      </c>
      <c r="AZ52" s="12" t="s">
        <v>183</v>
      </c>
      <c r="BA52" s="6" t="s">
        <v>63</v>
      </c>
      <c r="BC52" s="11">
        <f>AW52+AX52</f>
        <v>0</v>
      </c>
      <c r="BD52" s="11">
        <f>G52/(100-BE52)*100</f>
        <v>0</v>
      </c>
      <c r="BE52" s="11">
        <v>0</v>
      </c>
      <c r="BF52" s="11">
        <f>52</f>
        <v>52</v>
      </c>
      <c r="BH52" s="11">
        <f>F52*AO52</f>
        <v>0</v>
      </c>
      <c r="BI52" s="11">
        <f>F52*AP52</f>
        <v>0</v>
      </c>
      <c r="BJ52" s="11">
        <f>F52*G52</f>
        <v>0</v>
      </c>
      <c r="BK52" s="12" t="s">
        <v>64</v>
      </c>
      <c r="BL52" s="11">
        <v>731</v>
      </c>
      <c r="BW52" s="11">
        <v>21</v>
      </c>
      <c r="BX52" s="3" t="s">
        <v>186</v>
      </c>
    </row>
    <row r="53" spans="1:76" ht="24.75">
      <c r="A53" s="29" t="s">
        <v>187</v>
      </c>
      <c r="B53" s="2" t="s">
        <v>188</v>
      </c>
      <c r="C53" s="40" t="s">
        <v>189</v>
      </c>
      <c r="D53" s="38"/>
      <c r="E53" s="2" t="s">
        <v>60</v>
      </c>
      <c r="F53" s="11">
        <v>1</v>
      </c>
      <c r="G53" s="109">
        <v>0</v>
      </c>
      <c r="H53" s="11">
        <f>ROUND(F53*AO53,2)</f>
        <v>0</v>
      </c>
      <c r="I53" s="11">
        <f>ROUND(F53*AP53,2)</f>
        <v>0</v>
      </c>
      <c r="J53" s="11">
        <f>ROUND(F53*G53,2)</f>
        <v>0</v>
      </c>
      <c r="K53" s="108" t="s">
        <v>52</v>
      </c>
      <c r="Z53" s="11">
        <f>ROUND(IF(AQ53="5",BJ53,0),2)</f>
        <v>0</v>
      </c>
      <c r="AB53" s="11">
        <f>ROUND(IF(AQ53="1",BH53,0),2)</f>
        <v>0</v>
      </c>
      <c r="AC53" s="11">
        <f>ROUND(IF(AQ53="1",BI53,0),2)</f>
        <v>0</v>
      </c>
      <c r="AD53" s="11">
        <f>ROUND(IF(AQ53="7",BH53,0),2)</f>
        <v>0</v>
      </c>
      <c r="AE53" s="11">
        <f>ROUND(IF(AQ53="7",BI53,0),2)</f>
        <v>0</v>
      </c>
      <c r="AF53" s="11">
        <f>ROUND(IF(AQ53="2",BH53,0),2)</f>
        <v>0</v>
      </c>
      <c r="AG53" s="11">
        <f>ROUND(IF(AQ53="2",BI53,0),2)</f>
        <v>0</v>
      </c>
      <c r="AH53" s="11">
        <f>ROUND(IF(AQ53="0",BJ53,0),2)</f>
        <v>0</v>
      </c>
      <c r="AI53" s="6" t="s">
        <v>56</v>
      </c>
      <c r="AJ53" s="11">
        <f>IF(AN53=0,J53,0)</f>
        <v>0</v>
      </c>
      <c r="AK53" s="11">
        <f>IF(AN53=12,J53,0)</f>
        <v>0</v>
      </c>
      <c r="AL53" s="11">
        <f>IF(AN53=21,J53,0)</f>
        <v>0</v>
      </c>
      <c r="AN53" s="11">
        <v>21</v>
      </c>
      <c r="AO53" s="11">
        <f>G53*0.850085179</f>
        <v>0</v>
      </c>
      <c r="AP53" s="11">
        <f>G53*(1-0.850085179)</f>
        <v>0</v>
      </c>
      <c r="AQ53" s="12" t="s">
        <v>81</v>
      </c>
      <c r="AV53" s="11">
        <f>ROUND(AW53+AX53,2)</f>
        <v>0</v>
      </c>
      <c r="AW53" s="11">
        <f>ROUND(F53*AO53,2)</f>
        <v>0</v>
      </c>
      <c r="AX53" s="11">
        <f>ROUND(F53*AP53,2)</f>
        <v>0</v>
      </c>
      <c r="AY53" s="12" t="s">
        <v>182</v>
      </c>
      <c r="AZ53" s="12" t="s">
        <v>183</v>
      </c>
      <c r="BA53" s="6" t="s">
        <v>63</v>
      </c>
      <c r="BC53" s="11">
        <f>AW53+AX53</f>
        <v>0</v>
      </c>
      <c r="BD53" s="11">
        <f>G53/(100-BE53)*100</f>
        <v>0</v>
      </c>
      <c r="BE53" s="11">
        <v>0</v>
      </c>
      <c r="BF53" s="11">
        <f>53</f>
        <v>53</v>
      </c>
      <c r="BH53" s="11">
        <f>F53*AO53</f>
        <v>0</v>
      </c>
      <c r="BI53" s="11">
        <f>F53*AP53</f>
        <v>0</v>
      </c>
      <c r="BJ53" s="11">
        <f>F53*G53</f>
        <v>0</v>
      </c>
      <c r="BK53" s="12" t="s">
        <v>64</v>
      </c>
      <c r="BL53" s="11">
        <v>731</v>
      </c>
      <c r="BW53" s="11">
        <v>21</v>
      </c>
      <c r="BX53" s="3" t="s">
        <v>189</v>
      </c>
    </row>
    <row r="54" spans="1:76">
      <c r="A54" s="29" t="s">
        <v>190</v>
      </c>
      <c r="B54" s="2" t="s">
        <v>191</v>
      </c>
      <c r="C54" s="40" t="s">
        <v>192</v>
      </c>
      <c r="D54" s="38"/>
      <c r="E54" s="2" t="s">
        <v>60</v>
      </c>
      <c r="F54" s="11">
        <v>2</v>
      </c>
      <c r="G54" s="109">
        <v>0</v>
      </c>
      <c r="H54" s="11">
        <f>ROUND(F54*AO54,2)</f>
        <v>0</v>
      </c>
      <c r="I54" s="11">
        <f>ROUND(F54*AP54,2)</f>
        <v>0</v>
      </c>
      <c r="J54" s="11">
        <f>ROUND(F54*G54,2)</f>
        <v>0</v>
      </c>
      <c r="K54" s="108" t="s">
        <v>111</v>
      </c>
      <c r="Z54" s="11">
        <f>ROUND(IF(AQ54="5",BJ54,0),2)</f>
        <v>0</v>
      </c>
      <c r="AB54" s="11">
        <f>ROUND(IF(AQ54="1",BH54,0),2)</f>
        <v>0</v>
      </c>
      <c r="AC54" s="11">
        <f>ROUND(IF(AQ54="1",BI54,0),2)</f>
        <v>0</v>
      </c>
      <c r="AD54" s="11">
        <f>ROUND(IF(AQ54="7",BH54,0),2)</f>
        <v>0</v>
      </c>
      <c r="AE54" s="11">
        <f>ROUND(IF(AQ54="7",BI54,0),2)</f>
        <v>0</v>
      </c>
      <c r="AF54" s="11">
        <f>ROUND(IF(AQ54="2",BH54,0),2)</f>
        <v>0</v>
      </c>
      <c r="AG54" s="11">
        <f>ROUND(IF(AQ54="2",BI54,0),2)</f>
        <v>0</v>
      </c>
      <c r="AH54" s="11">
        <f>ROUND(IF(AQ54="0",BJ54,0),2)</f>
        <v>0</v>
      </c>
      <c r="AI54" s="6" t="s">
        <v>56</v>
      </c>
      <c r="AJ54" s="11">
        <f>IF(AN54=0,J54,0)</f>
        <v>0</v>
      </c>
      <c r="AK54" s="11">
        <f>IF(AN54=12,J54,0)</f>
        <v>0</v>
      </c>
      <c r="AL54" s="11">
        <f>IF(AN54=21,J54,0)</f>
        <v>0</v>
      </c>
      <c r="AN54" s="11">
        <v>21</v>
      </c>
      <c r="AO54" s="11">
        <f>G54*0</f>
        <v>0</v>
      </c>
      <c r="AP54" s="11">
        <f>G54*(1-0)</f>
        <v>0</v>
      </c>
      <c r="AQ54" s="12" t="s">
        <v>81</v>
      </c>
      <c r="AV54" s="11">
        <f>ROUND(AW54+AX54,2)</f>
        <v>0</v>
      </c>
      <c r="AW54" s="11">
        <f>ROUND(F54*AO54,2)</f>
        <v>0</v>
      </c>
      <c r="AX54" s="11">
        <f>ROUND(F54*AP54,2)</f>
        <v>0</v>
      </c>
      <c r="AY54" s="12" t="s">
        <v>182</v>
      </c>
      <c r="AZ54" s="12" t="s">
        <v>183</v>
      </c>
      <c r="BA54" s="6" t="s">
        <v>63</v>
      </c>
      <c r="BC54" s="11">
        <f>AW54+AX54</f>
        <v>0</v>
      </c>
      <c r="BD54" s="11">
        <f>G54/(100-BE54)*100</f>
        <v>0</v>
      </c>
      <c r="BE54" s="11">
        <v>0</v>
      </c>
      <c r="BF54" s="11">
        <f>54</f>
        <v>54</v>
      </c>
      <c r="BH54" s="11">
        <f>F54*AO54</f>
        <v>0</v>
      </c>
      <c r="BI54" s="11">
        <f>F54*AP54</f>
        <v>0</v>
      </c>
      <c r="BJ54" s="11">
        <f>F54*G54</f>
        <v>0</v>
      </c>
      <c r="BK54" s="12" t="s">
        <v>64</v>
      </c>
      <c r="BL54" s="11">
        <v>731</v>
      </c>
      <c r="BW54" s="11">
        <v>21</v>
      </c>
      <c r="BX54" s="3" t="s">
        <v>192</v>
      </c>
    </row>
    <row r="55" spans="1:76">
      <c r="A55" s="29" t="s">
        <v>193</v>
      </c>
      <c r="B55" s="2" t="s">
        <v>194</v>
      </c>
      <c r="C55" s="40" t="s">
        <v>195</v>
      </c>
      <c r="D55" s="38"/>
      <c r="E55" s="2" t="s">
        <v>60</v>
      </c>
      <c r="F55" s="11">
        <v>2</v>
      </c>
      <c r="G55" s="109">
        <v>0</v>
      </c>
      <c r="H55" s="11">
        <f>ROUND(F55*AO55,2)</f>
        <v>0</v>
      </c>
      <c r="I55" s="11">
        <f>ROUND(F55*AP55,2)</f>
        <v>0</v>
      </c>
      <c r="J55" s="11">
        <f>ROUND(F55*G55,2)</f>
        <v>0</v>
      </c>
      <c r="K55" s="108" t="s">
        <v>111</v>
      </c>
      <c r="Z55" s="11">
        <f>ROUND(IF(AQ55="5",BJ55,0),2)</f>
        <v>0</v>
      </c>
      <c r="AB55" s="11">
        <f>ROUND(IF(AQ55="1",BH55,0),2)</f>
        <v>0</v>
      </c>
      <c r="AC55" s="11">
        <f>ROUND(IF(AQ55="1",BI55,0),2)</f>
        <v>0</v>
      </c>
      <c r="AD55" s="11">
        <f>ROUND(IF(AQ55="7",BH55,0),2)</f>
        <v>0</v>
      </c>
      <c r="AE55" s="11">
        <f>ROUND(IF(AQ55="7",BI55,0),2)</f>
        <v>0</v>
      </c>
      <c r="AF55" s="11">
        <f>ROUND(IF(AQ55="2",BH55,0),2)</f>
        <v>0</v>
      </c>
      <c r="AG55" s="11">
        <f>ROUND(IF(AQ55="2",BI55,0),2)</f>
        <v>0</v>
      </c>
      <c r="AH55" s="11">
        <f>ROUND(IF(AQ55="0",BJ55,0),2)</f>
        <v>0</v>
      </c>
      <c r="AI55" s="6" t="s">
        <v>56</v>
      </c>
      <c r="AJ55" s="11">
        <f>IF(AN55=0,J55,0)</f>
        <v>0</v>
      </c>
      <c r="AK55" s="11">
        <f>IF(AN55=12,J55,0)</f>
        <v>0</v>
      </c>
      <c r="AL55" s="11">
        <f>IF(AN55=21,J55,0)</f>
        <v>0</v>
      </c>
      <c r="AN55" s="11">
        <v>21</v>
      </c>
      <c r="AO55" s="11">
        <f>G55*0</f>
        <v>0</v>
      </c>
      <c r="AP55" s="11">
        <f>G55*(1-0)</f>
        <v>0</v>
      </c>
      <c r="AQ55" s="12" t="s">
        <v>81</v>
      </c>
      <c r="AV55" s="11">
        <f>ROUND(AW55+AX55,2)</f>
        <v>0</v>
      </c>
      <c r="AW55" s="11">
        <f>ROUND(F55*AO55,2)</f>
        <v>0</v>
      </c>
      <c r="AX55" s="11">
        <f>ROUND(F55*AP55,2)</f>
        <v>0</v>
      </c>
      <c r="AY55" s="12" t="s">
        <v>182</v>
      </c>
      <c r="AZ55" s="12" t="s">
        <v>183</v>
      </c>
      <c r="BA55" s="6" t="s">
        <v>63</v>
      </c>
      <c r="BC55" s="11">
        <f>AW55+AX55</f>
        <v>0</v>
      </c>
      <c r="BD55" s="11">
        <f>G55/(100-BE55)*100</f>
        <v>0</v>
      </c>
      <c r="BE55" s="11">
        <v>0</v>
      </c>
      <c r="BF55" s="11">
        <f>55</f>
        <v>55</v>
      </c>
      <c r="BH55" s="11">
        <f>F55*AO55</f>
        <v>0</v>
      </c>
      <c r="BI55" s="11">
        <f>F55*AP55</f>
        <v>0</v>
      </c>
      <c r="BJ55" s="11">
        <f>F55*G55</f>
        <v>0</v>
      </c>
      <c r="BK55" s="12" t="s">
        <v>64</v>
      </c>
      <c r="BL55" s="11">
        <v>731</v>
      </c>
      <c r="BW55" s="11">
        <v>21</v>
      </c>
      <c r="BX55" s="3" t="s">
        <v>195</v>
      </c>
    </row>
    <row r="56" spans="1:76">
      <c r="A56" s="29" t="s">
        <v>196</v>
      </c>
      <c r="B56" s="2" t="s">
        <v>197</v>
      </c>
      <c r="C56" s="40" t="s">
        <v>198</v>
      </c>
      <c r="D56" s="38"/>
      <c r="E56" s="2" t="s">
        <v>60</v>
      </c>
      <c r="F56" s="11">
        <v>2</v>
      </c>
      <c r="G56" s="109">
        <v>0</v>
      </c>
      <c r="H56" s="11">
        <f>ROUND(F56*AO56,2)</f>
        <v>0</v>
      </c>
      <c r="I56" s="11">
        <f>ROUND(F56*AP56,2)</f>
        <v>0</v>
      </c>
      <c r="J56" s="11">
        <f>ROUND(F56*G56,2)</f>
        <v>0</v>
      </c>
      <c r="K56" s="108" t="s">
        <v>111</v>
      </c>
      <c r="Z56" s="11">
        <f>ROUND(IF(AQ56="5",BJ56,0),2)</f>
        <v>0</v>
      </c>
      <c r="AB56" s="11">
        <f>ROUND(IF(AQ56="1",BH56,0),2)</f>
        <v>0</v>
      </c>
      <c r="AC56" s="11">
        <f>ROUND(IF(AQ56="1",BI56,0),2)</f>
        <v>0</v>
      </c>
      <c r="AD56" s="11">
        <f>ROUND(IF(AQ56="7",BH56,0),2)</f>
        <v>0</v>
      </c>
      <c r="AE56" s="11">
        <f>ROUND(IF(AQ56="7",BI56,0),2)</f>
        <v>0</v>
      </c>
      <c r="AF56" s="11">
        <f>ROUND(IF(AQ56="2",BH56,0),2)</f>
        <v>0</v>
      </c>
      <c r="AG56" s="11">
        <f>ROUND(IF(AQ56="2",BI56,0),2)</f>
        <v>0</v>
      </c>
      <c r="AH56" s="11">
        <f>ROUND(IF(AQ56="0",BJ56,0),2)</f>
        <v>0</v>
      </c>
      <c r="AI56" s="6" t="s">
        <v>56</v>
      </c>
      <c r="AJ56" s="11">
        <f>IF(AN56=0,J56,0)</f>
        <v>0</v>
      </c>
      <c r="AK56" s="11">
        <f>IF(AN56=12,J56,0)</f>
        <v>0</v>
      </c>
      <c r="AL56" s="11">
        <f>IF(AN56=21,J56,0)</f>
        <v>0</v>
      </c>
      <c r="AN56" s="11">
        <v>21</v>
      </c>
      <c r="AO56" s="11">
        <f>G56*0.103579792</f>
        <v>0</v>
      </c>
      <c r="AP56" s="11">
        <f>G56*(1-0.103579792)</f>
        <v>0</v>
      </c>
      <c r="AQ56" s="12" t="s">
        <v>81</v>
      </c>
      <c r="AV56" s="11">
        <f>ROUND(AW56+AX56,2)</f>
        <v>0</v>
      </c>
      <c r="AW56" s="11">
        <f>ROUND(F56*AO56,2)</f>
        <v>0</v>
      </c>
      <c r="AX56" s="11">
        <f>ROUND(F56*AP56,2)</f>
        <v>0</v>
      </c>
      <c r="AY56" s="12" t="s">
        <v>182</v>
      </c>
      <c r="AZ56" s="12" t="s">
        <v>183</v>
      </c>
      <c r="BA56" s="6" t="s">
        <v>63</v>
      </c>
      <c r="BC56" s="11">
        <f>AW56+AX56</f>
        <v>0</v>
      </c>
      <c r="BD56" s="11">
        <f>G56/(100-BE56)*100</f>
        <v>0</v>
      </c>
      <c r="BE56" s="11">
        <v>0</v>
      </c>
      <c r="BF56" s="11">
        <f>56</f>
        <v>56</v>
      </c>
      <c r="BH56" s="11">
        <f>F56*AO56</f>
        <v>0</v>
      </c>
      <c r="BI56" s="11">
        <f>F56*AP56</f>
        <v>0</v>
      </c>
      <c r="BJ56" s="11">
        <f>F56*G56</f>
        <v>0</v>
      </c>
      <c r="BK56" s="12" t="s">
        <v>64</v>
      </c>
      <c r="BL56" s="11">
        <v>731</v>
      </c>
      <c r="BW56" s="11">
        <v>21</v>
      </c>
      <c r="BX56" s="3" t="s">
        <v>198</v>
      </c>
    </row>
    <row r="57" spans="1:76">
      <c r="A57" s="29" t="s">
        <v>199</v>
      </c>
      <c r="B57" s="2" t="s">
        <v>200</v>
      </c>
      <c r="C57" s="40" t="s">
        <v>201</v>
      </c>
      <c r="D57" s="38"/>
      <c r="E57" s="2" t="s">
        <v>60</v>
      </c>
      <c r="F57" s="11">
        <v>1</v>
      </c>
      <c r="G57" s="109">
        <v>0</v>
      </c>
      <c r="H57" s="11">
        <f>ROUND(F57*AO57,2)</f>
        <v>0</v>
      </c>
      <c r="I57" s="11">
        <f>ROUND(F57*AP57,2)</f>
        <v>0</v>
      </c>
      <c r="J57" s="11">
        <f>ROUND(F57*G57,2)</f>
        <v>0</v>
      </c>
      <c r="K57" s="108" t="s">
        <v>111</v>
      </c>
      <c r="Z57" s="11">
        <f>ROUND(IF(AQ57="5",BJ57,0),2)</f>
        <v>0</v>
      </c>
      <c r="AB57" s="11">
        <f>ROUND(IF(AQ57="1",BH57,0),2)</f>
        <v>0</v>
      </c>
      <c r="AC57" s="11">
        <f>ROUND(IF(AQ57="1",BI57,0),2)</f>
        <v>0</v>
      </c>
      <c r="AD57" s="11">
        <f>ROUND(IF(AQ57="7",BH57,0),2)</f>
        <v>0</v>
      </c>
      <c r="AE57" s="11">
        <f>ROUND(IF(AQ57="7",BI57,0),2)</f>
        <v>0</v>
      </c>
      <c r="AF57" s="11">
        <f>ROUND(IF(AQ57="2",BH57,0),2)</f>
        <v>0</v>
      </c>
      <c r="AG57" s="11">
        <f>ROUND(IF(AQ57="2",BI57,0),2)</f>
        <v>0</v>
      </c>
      <c r="AH57" s="11">
        <f>ROUND(IF(AQ57="0",BJ57,0),2)</f>
        <v>0</v>
      </c>
      <c r="AI57" s="6" t="s">
        <v>56</v>
      </c>
      <c r="AJ57" s="11">
        <f>IF(AN57=0,J57,0)</f>
        <v>0</v>
      </c>
      <c r="AK57" s="11">
        <f>IF(AN57=12,J57,0)</f>
        <v>0</v>
      </c>
      <c r="AL57" s="11">
        <f>IF(AN57=21,J57,0)</f>
        <v>0</v>
      </c>
      <c r="AN57" s="11">
        <v>21</v>
      </c>
      <c r="AO57" s="11">
        <f>G57*0</f>
        <v>0</v>
      </c>
      <c r="AP57" s="11">
        <f>G57*(1-0)</f>
        <v>0</v>
      </c>
      <c r="AQ57" s="12" t="s">
        <v>81</v>
      </c>
      <c r="AV57" s="11">
        <f>ROUND(AW57+AX57,2)</f>
        <v>0</v>
      </c>
      <c r="AW57" s="11">
        <f>ROUND(F57*AO57,2)</f>
        <v>0</v>
      </c>
      <c r="AX57" s="11">
        <f>ROUND(F57*AP57,2)</f>
        <v>0</v>
      </c>
      <c r="AY57" s="12" t="s">
        <v>182</v>
      </c>
      <c r="AZ57" s="12" t="s">
        <v>183</v>
      </c>
      <c r="BA57" s="6" t="s">
        <v>63</v>
      </c>
      <c r="BC57" s="11">
        <f>AW57+AX57</f>
        <v>0</v>
      </c>
      <c r="BD57" s="11">
        <f>G57/(100-BE57)*100</f>
        <v>0</v>
      </c>
      <c r="BE57" s="11">
        <v>0</v>
      </c>
      <c r="BF57" s="11">
        <f>57</f>
        <v>57</v>
      </c>
      <c r="BH57" s="11">
        <f>F57*AO57</f>
        <v>0</v>
      </c>
      <c r="BI57" s="11">
        <f>F57*AP57</f>
        <v>0</v>
      </c>
      <c r="BJ57" s="11">
        <f>F57*G57</f>
        <v>0</v>
      </c>
      <c r="BK57" s="12" t="s">
        <v>64</v>
      </c>
      <c r="BL57" s="11">
        <v>731</v>
      </c>
      <c r="BW57" s="11">
        <v>21</v>
      </c>
      <c r="BX57" s="3" t="s">
        <v>201</v>
      </c>
    </row>
    <row r="58" spans="1:76">
      <c r="A58" s="29" t="s">
        <v>202</v>
      </c>
      <c r="B58" s="2" t="s">
        <v>200</v>
      </c>
      <c r="C58" s="40" t="s">
        <v>203</v>
      </c>
      <c r="D58" s="38"/>
      <c r="E58" s="2" t="s">
        <v>60</v>
      </c>
      <c r="F58" s="11">
        <v>1</v>
      </c>
      <c r="G58" s="109">
        <v>0</v>
      </c>
      <c r="H58" s="11">
        <f>ROUND(F58*AO58,2)</f>
        <v>0</v>
      </c>
      <c r="I58" s="11">
        <f>ROUND(F58*AP58,2)</f>
        <v>0</v>
      </c>
      <c r="J58" s="11">
        <f>ROUND(F58*G58,2)</f>
        <v>0</v>
      </c>
      <c r="K58" s="108" t="s">
        <v>111</v>
      </c>
      <c r="Z58" s="11">
        <f>ROUND(IF(AQ58="5",BJ58,0),2)</f>
        <v>0</v>
      </c>
      <c r="AB58" s="11">
        <f>ROUND(IF(AQ58="1",BH58,0),2)</f>
        <v>0</v>
      </c>
      <c r="AC58" s="11">
        <f>ROUND(IF(AQ58="1",BI58,0),2)</f>
        <v>0</v>
      </c>
      <c r="AD58" s="11">
        <f>ROUND(IF(AQ58="7",BH58,0),2)</f>
        <v>0</v>
      </c>
      <c r="AE58" s="11">
        <f>ROUND(IF(AQ58="7",BI58,0),2)</f>
        <v>0</v>
      </c>
      <c r="AF58" s="11">
        <f>ROUND(IF(AQ58="2",BH58,0),2)</f>
        <v>0</v>
      </c>
      <c r="AG58" s="11">
        <f>ROUND(IF(AQ58="2",BI58,0),2)</f>
        <v>0</v>
      </c>
      <c r="AH58" s="11">
        <f>ROUND(IF(AQ58="0",BJ58,0),2)</f>
        <v>0</v>
      </c>
      <c r="AI58" s="6" t="s">
        <v>56</v>
      </c>
      <c r="AJ58" s="11">
        <f>IF(AN58=0,J58,0)</f>
        <v>0</v>
      </c>
      <c r="AK58" s="11">
        <f>IF(AN58=12,J58,0)</f>
        <v>0</v>
      </c>
      <c r="AL58" s="11">
        <f>IF(AN58=21,J58,0)</f>
        <v>0</v>
      </c>
      <c r="AN58" s="11">
        <v>21</v>
      </c>
      <c r="AO58" s="11">
        <f>G58*0</f>
        <v>0</v>
      </c>
      <c r="AP58" s="11">
        <f>G58*(1-0)</f>
        <v>0</v>
      </c>
      <c r="AQ58" s="12" t="s">
        <v>81</v>
      </c>
      <c r="AV58" s="11">
        <f>ROUND(AW58+AX58,2)</f>
        <v>0</v>
      </c>
      <c r="AW58" s="11">
        <f>ROUND(F58*AO58,2)</f>
        <v>0</v>
      </c>
      <c r="AX58" s="11">
        <f>ROUND(F58*AP58,2)</f>
        <v>0</v>
      </c>
      <c r="AY58" s="12" t="s">
        <v>182</v>
      </c>
      <c r="AZ58" s="12" t="s">
        <v>183</v>
      </c>
      <c r="BA58" s="6" t="s">
        <v>63</v>
      </c>
      <c r="BC58" s="11">
        <f>AW58+AX58</f>
        <v>0</v>
      </c>
      <c r="BD58" s="11">
        <f>G58/(100-BE58)*100</f>
        <v>0</v>
      </c>
      <c r="BE58" s="11">
        <v>0</v>
      </c>
      <c r="BF58" s="11">
        <f>58</f>
        <v>58</v>
      </c>
      <c r="BH58" s="11">
        <f>F58*AO58</f>
        <v>0</v>
      </c>
      <c r="BI58" s="11">
        <f>F58*AP58</f>
        <v>0</v>
      </c>
      <c r="BJ58" s="11">
        <f>F58*G58</f>
        <v>0</v>
      </c>
      <c r="BK58" s="12" t="s">
        <v>64</v>
      </c>
      <c r="BL58" s="11">
        <v>731</v>
      </c>
      <c r="BW58" s="11">
        <v>21</v>
      </c>
      <c r="BX58" s="3" t="s">
        <v>203</v>
      </c>
    </row>
    <row r="59" spans="1:76">
      <c r="A59" s="29" t="s">
        <v>204</v>
      </c>
      <c r="B59" s="2" t="s">
        <v>205</v>
      </c>
      <c r="C59" s="40" t="s">
        <v>206</v>
      </c>
      <c r="D59" s="38"/>
      <c r="E59" s="2" t="s">
        <v>60</v>
      </c>
      <c r="F59" s="11">
        <v>2</v>
      </c>
      <c r="G59" s="109">
        <v>0</v>
      </c>
      <c r="H59" s="11">
        <f>ROUND(F59*AO59,2)</f>
        <v>0</v>
      </c>
      <c r="I59" s="11">
        <f>ROUND(F59*AP59,2)</f>
        <v>0</v>
      </c>
      <c r="J59" s="11">
        <f>ROUND(F59*G59,2)</f>
        <v>0</v>
      </c>
      <c r="K59" s="108" t="s">
        <v>52</v>
      </c>
      <c r="Z59" s="11">
        <f>ROUND(IF(AQ59="5",BJ59,0),2)</f>
        <v>0</v>
      </c>
      <c r="AB59" s="11">
        <f>ROUND(IF(AQ59="1",BH59,0),2)</f>
        <v>0</v>
      </c>
      <c r="AC59" s="11">
        <f>ROUND(IF(AQ59="1",BI59,0),2)</f>
        <v>0</v>
      </c>
      <c r="AD59" s="11">
        <f>ROUND(IF(AQ59="7",BH59,0),2)</f>
        <v>0</v>
      </c>
      <c r="AE59" s="11">
        <f>ROUND(IF(AQ59="7",BI59,0),2)</f>
        <v>0</v>
      </c>
      <c r="AF59" s="11">
        <f>ROUND(IF(AQ59="2",BH59,0),2)</f>
        <v>0</v>
      </c>
      <c r="AG59" s="11">
        <f>ROUND(IF(AQ59="2",BI59,0),2)</f>
        <v>0</v>
      </c>
      <c r="AH59" s="11">
        <f>ROUND(IF(AQ59="0",BJ59,0),2)</f>
        <v>0</v>
      </c>
      <c r="AI59" s="6" t="s">
        <v>56</v>
      </c>
      <c r="AJ59" s="11">
        <f>IF(AN59=0,J59,0)</f>
        <v>0</v>
      </c>
      <c r="AK59" s="11">
        <f>IF(AN59=12,J59,0)</f>
        <v>0</v>
      </c>
      <c r="AL59" s="11">
        <f>IF(AN59=21,J59,0)</f>
        <v>0</v>
      </c>
      <c r="AN59" s="11">
        <v>21</v>
      </c>
      <c r="AO59" s="11">
        <f>G59*1</f>
        <v>0</v>
      </c>
      <c r="AP59" s="11">
        <f>G59*(1-1)</f>
        <v>0</v>
      </c>
      <c r="AQ59" s="12" t="s">
        <v>81</v>
      </c>
      <c r="AV59" s="11">
        <f>ROUND(AW59+AX59,2)</f>
        <v>0</v>
      </c>
      <c r="AW59" s="11">
        <f>ROUND(F59*AO59,2)</f>
        <v>0</v>
      </c>
      <c r="AX59" s="11">
        <f>ROUND(F59*AP59,2)</f>
        <v>0</v>
      </c>
      <c r="AY59" s="12" t="s">
        <v>182</v>
      </c>
      <c r="AZ59" s="12" t="s">
        <v>183</v>
      </c>
      <c r="BA59" s="6" t="s">
        <v>63</v>
      </c>
      <c r="BC59" s="11">
        <f>AW59+AX59</f>
        <v>0</v>
      </c>
      <c r="BD59" s="11">
        <f>G59/(100-BE59)*100</f>
        <v>0</v>
      </c>
      <c r="BE59" s="11">
        <v>0</v>
      </c>
      <c r="BF59" s="11">
        <f>59</f>
        <v>59</v>
      </c>
      <c r="BH59" s="11">
        <f>F59*AO59</f>
        <v>0</v>
      </c>
      <c r="BI59" s="11">
        <f>F59*AP59</f>
        <v>0</v>
      </c>
      <c r="BJ59" s="11">
        <f>F59*G59</f>
        <v>0</v>
      </c>
      <c r="BK59" s="12" t="s">
        <v>64</v>
      </c>
      <c r="BL59" s="11">
        <v>731</v>
      </c>
      <c r="BW59" s="11">
        <v>21</v>
      </c>
      <c r="BX59" s="3" t="s">
        <v>206</v>
      </c>
    </row>
    <row r="60" spans="1:76" ht="24.75">
      <c r="A60" s="29" t="s">
        <v>207</v>
      </c>
      <c r="B60" s="2" t="s">
        <v>208</v>
      </c>
      <c r="C60" s="40" t="s">
        <v>209</v>
      </c>
      <c r="D60" s="38"/>
      <c r="E60" s="2" t="s">
        <v>60</v>
      </c>
      <c r="F60" s="11">
        <v>2</v>
      </c>
      <c r="G60" s="109">
        <v>0</v>
      </c>
      <c r="H60" s="11">
        <f>ROUND(F60*AO60,2)</f>
        <v>0</v>
      </c>
      <c r="I60" s="11">
        <f>ROUND(F60*AP60,2)</f>
        <v>0</v>
      </c>
      <c r="J60" s="11">
        <f>ROUND(F60*G60,2)</f>
        <v>0</v>
      </c>
      <c r="K60" s="108" t="s">
        <v>52</v>
      </c>
      <c r="Z60" s="11">
        <f>ROUND(IF(AQ60="5",BJ60,0),2)</f>
        <v>0</v>
      </c>
      <c r="AB60" s="11">
        <f>ROUND(IF(AQ60="1",BH60,0),2)</f>
        <v>0</v>
      </c>
      <c r="AC60" s="11">
        <f>ROUND(IF(AQ60="1",BI60,0),2)</f>
        <v>0</v>
      </c>
      <c r="AD60" s="11">
        <f>ROUND(IF(AQ60="7",BH60,0),2)</f>
        <v>0</v>
      </c>
      <c r="AE60" s="11">
        <f>ROUND(IF(AQ60="7",BI60,0),2)</f>
        <v>0</v>
      </c>
      <c r="AF60" s="11">
        <f>ROUND(IF(AQ60="2",BH60,0),2)</f>
        <v>0</v>
      </c>
      <c r="AG60" s="11">
        <f>ROUND(IF(AQ60="2",BI60,0),2)</f>
        <v>0</v>
      </c>
      <c r="AH60" s="11">
        <f>ROUND(IF(AQ60="0",BJ60,0),2)</f>
        <v>0</v>
      </c>
      <c r="AI60" s="6" t="s">
        <v>56</v>
      </c>
      <c r="AJ60" s="11">
        <f>IF(AN60=0,J60,0)</f>
        <v>0</v>
      </c>
      <c r="AK60" s="11">
        <f>IF(AN60=12,J60,0)</f>
        <v>0</v>
      </c>
      <c r="AL60" s="11">
        <f>IF(AN60=21,J60,0)</f>
        <v>0</v>
      </c>
      <c r="AN60" s="11">
        <v>21</v>
      </c>
      <c r="AO60" s="11">
        <f>G60*1</f>
        <v>0</v>
      </c>
      <c r="AP60" s="11">
        <f>G60*(1-1)</f>
        <v>0</v>
      </c>
      <c r="AQ60" s="12" t="s">
        <v>81</v>
      </c>
      <c r="AV60" s="11">
        <f>ROUND(AW60+AX60,2)</f>
        <v>0</v>
      </c>
      <c r="AW60" s="11">
        <f>ROUND(F60*AO60,2)</f>
        <v>0</v>
      </c>
      <c r="AX60" s="11">
        <f>ROUND(F60*AP60,2)</f>
        <v>0</v>
      </c>
      <c r="AY60" s="12" t="s">
        <v>182</v>
      </c>
      <c r="AZ60" s="12" t="s">
        <v>183</v>
      </c>
      <c r="BA60" s="6" t="s">
        <v>63</v>
      </c>
      <c r="BC60" s="11">
        <f>AW60+AX60</f>
        <v>0</v>
      </c>
      <c r="BD60" s="11">
        <f>G60/(100-BE60)*100</f>
        <v>0</v>
      </c>
      <c r="BE60" s="11">
        <v>0</v>
      </c>
      <c r="BF60" s="11">
        <f>60</f>
        <v>60</v>
      </c>
      <c r="BH60" s="11">
        <f>F60*AO60</f>
        <v>0</v>
      </c>
      <c r="BI60" s="11">
        <f>F60*AP60</f>
        <v>0</v>
      </c>
      <c r="BJ60" s="11">
        <f>F60*G60</f>
        <v>0</v>
      </c>
      <c r="BK60" s="12" t="s">
        <v>64</v>
      </c>
      <c r="BL60" s="11">
        <v>731</v>
      </c>
      <c r="BW60" s="11">
        <v>21</v>
      </c>
      <c r="BX60" s="3" t="s">
        <v>209</v>
      </c>
    </row>
    <row r="61" spans="1:76">
      <c r="A61" s="29" t="s">
        <v>210</v>
      </c>
      <c r="B61" s="2" t="s">
        <v>211</v>
      </c>
      <c r="C61" s="40" t="s">
        <v>212</v>
      </c>
      <c r="D61" s="38"/>
      <c r="E61" s="2" t="s">
        <v>60</v>
      </c>
      <c r="F61" s="11">
        <v>4</v>
      </c>
      <c r="G61" s="109">
        <v>0</v>
      </c>
      <c r="H61" s="11">
        <f>ROUND(F61*AO61,2)</f>
        <v>0</v>
      </c>
      <c r="I61" s="11">
        <f>ROUND(F61*AP61,2)</f>
        <v>0</v>
      </c>
      <c r="J61" s="11">
        <f>ROUND(F61*G61,2)</f>
        <v>0</v>
      </c>
      <c r="K61" s="108" t="s">
        <v>52</v>
      </c>
      <c r="Z61" s="11">
        <f>ROUND(IF(AQ61="5",BJ61,0),2)</f>
        <v>0</v>
      </c>
      <c r="AB61" s="11">
        <f>ROUND(IF(AQ61="1",BH61,0),2)</f>
        <v>0</v>
      </c>
      <c r="AC61" s="11">
        <f>ROUND(IF(AQ61="1",BI61,0),2)</f>
        <v>0</v>
      </c>
      <c r="AD61" s="11">
        <f>ROUND(IF(AQ61="7",BH61,0),2)</f>
        <v>0</v>
      </c>
      <c r="AE61" s="11">
        <f>ROUND(IF(AQ61="7",BI61,0),2)</f>
        <v>0</v>
      </c>
      <c r="AF61" s="11">
        <f>ROUND(IF(AQ61="2",BH61,0),2)</f>
        <v>0</v>
      </c>
      <c r="AG61" s="11">
        <f>ROUND(IF(AQ61="2",BI61,0),2)</f>
        <v>0</v>
      </c>
      <c r="AH61" s="11">
        <f>ROUND(IF(AQ61="0",BJ61,0),2)</f>
        <v>0</v>
      </c>
      <c r="AI61" s="6" t="s">
        <v>56</v>
      </c>
      <c r="AJ61" s="11">
        <f>IF(AN61=0,J61,0)</f>
        <v>0</v>
      </c>
      <c r="AK61" s="11">
        <f>IF(AN61=12,J61,0)</f>
        <v>0</v>
      </c>
      <c r="AL61" s="11">
        <f>IF(AN61=21,J61,0)</f>
        <v>0</v>
      </c>
      <c r="AN61" s="11">
        <v>21</v>
      </c>
      <c r="AO61" s="11">
        <f>G61*1</f>
        <v>0</v>
      </c>
      <c r="AP61" s="11">
        <f>G61*(1-1)</f>
        <v>0</v>
      </c>
      <c r="AQ61" s="12" t="s">
        <v>81</v>
      </c>
      <c r="AV61" s="11">
        <f>ROUND(AW61+AX61,2)</f>
        <v>0</v>
      </c>
      <c r="AW61" s="11">
        <f>ROUND(F61*AO61,2)</f>
        <v>0</v>
      </c>
      <c r="AX61" s="11">
        <f>ROUND(F61*AP61,2)</f>
        <v>0</v>
      </c>
      <c r="AY61" s="12" t="s">
        <v>182</v>
      </c>
      <c r="AZ61" s="12" t="s">
        <v>183</v>
      </c>
      <c r="BA61" s="6" t="s">
        <v>63</v>
      </c>
      <c r="BC61" s="11">
        <f>AW61+AX61</f>
        <v>0</v>
      </c>
      <c r="BD61" s="11">
        <f>G61/(100-BE61)*100</f>
        <v>0</v>
      </c>
      <c r="BE61" s="11">
        <v>0</v>
      </c>
      <c r="BF61" s="11">
        <f>61</f>
        <v>61</v>
      </c>
      <c r="BH61" s="11">
        <f>F61*AO61</f>
        <v>0</v>
      </c>
      <c r="BI61" s="11">
        <f>F61*AP61</f>
        <v>0</v>
      </c>
      <c r="BJ61" s="11">
        <f>F61*G61</f>
        <v>0</v>
      </c>
      <c r="BK61" s="12" t="s">
        <v>64</v>
      </c>
      <c r="BL61" s="11">
        <v>731</v>
      </c>
      <c r="BW61" s="11">
        <v>21</v>
      </c>
      <c r="BX61" s="3" t="s">
        <v>212</v>
      </c>
    </row>
    <row r="62" spans="1:76">
      <c r="A62" s="29" t="s">
        <v>213</v>
      </c>
      <c r="B62" s="2" t="s">
        <v>214</v>
      </c>
      <c r="C62" s="40" t="s">
        <v>215</v>
      </c>
      <c r="D62" s="38"/>
      <c r="E62" s="2" t="s">
        <v>60</v>
      </c>
      <c r="F62" s="11">
        <v>1</v>
      </c>
      <c r="G62" s="109">
        <v>0</v>
      </c>
      <c r="H62" s="11">
        <f>ROUND(F62*AO62,2)</f>
        <v>0</v>
      </c>
      <c r="I62" s="11">
        <f>ROUND(F62*AP62,2)</f>
        <v>0</v>
      </c>
      <c r="J62" s="11">
        <f>ROUND(F62*G62,2)</f>
        <v>0</v>
      </c>
      <c r="K62" s="108" t="s">
        <v>52</v>
      </c>
      <c r="Z62" s="11">
        <f>ROUND(IF(AQ62="5",BJ62,0),2)</f>
        <v>0</v>
      </c>
      <c r="AB62" s="11">
        <f>ROUND(IF(AQ62="1",BH62,0),2)</f>
        <v>0</v>
      </c>
      <c r="AC62" s="11">
        <f>ROUND(IF(AQ62="1",BI62,0),2)</f>
        <v>0</v>
      </c>
      <c r="AD62" s="11">
        <f>ROUND(IF(AQ62="7",BH62,0),2)</f>
        <v>0</v>
      </c>
      <c r="AE62" s="11">
        <f>ROUND(IF(AQ62="7",BI62,0),2)</f>
        <v>0</v>
      </c>
      <c r="AF62" s="11">
        <f>ROUND(IF(AQ62="2",BH62,0),2)</f>
        <v>0</v>
      </c>
      <c r="AG62" s="11">
        <f>ROUND(IF(AQ62="2",BI62,0),2)</f>
        <v>0</v>
      </c>
      <c r="AH62" s="11">
        <f>ROUND(IF(AQ62="0",BJ62,0),2)</f>
        <v>0</v>
      </c>
      <c r="AI62" s="6" t="s">
        <v>56</v>
      </c>
      <c r="AJ62" s="11">
        <f>IF(AN62=0,J62,0)</f>
        <v>0</v>
      </c>
      <c r="AK62" s="11">
        <f>IF(AN62=12,J62,0)</f>
        <v>0</v>
      </c>
      <c r="AL62" s="11">
        <f>IF(AN62=21,J62,0)</f>
        <v>0</v>
      </c>
      <c r="AN62" s="11">
        <v>21</v>
      </c>
      <c r="AO62" s="11">
        <f>G62*1</f>
        <v>0</v>
      </c>
      <c r="AP62" s="11">
        <f>G62*(1-1)</f>
        <v>0</v>
      </c>
      <c r="AQ62" s="12" t="s">
        <v>81</v>
      </c>
      <c r="AV62" s="11">
        <f>ROUND(AW62+AX62,2)</f>
        <v>0</v>
      </c>
      <c r="AW62" s="11">
        <f>ROUND(F62*AO62,2)</f>
        <v>0</v>
      </c>
      <c r="AX62" s="11">
        <f>ROUND(F62*AP62,2)</f>
        <v>0</v>
      </c>
      <c r="AY62" s="12" t="s">
        <v>182</v>
      </c>
      <c r="AZ62" s="12" t="s">
        <v>183</v>
      </c>
      <c r="BA62" s="6" t="s">
        <v>63</v>
      </c>
      <c r="BC62" s="11">
        <f>AW62+AX62</f>
        <v>0</v>
      </c>
      <c r="BD62" s="11">
        <f>G62/(100-BE62)*100</f>
        <v>0</v>
      </c>
      <c r="BE62" s="11">
        <v>0</v>
      </c>
      <c r="BF62" s="11">
        <f>62</f>
        <v>62</v>
      </c>
      <c r="BH62" s="11">
        <f>F62*AO62</f>
        <v>0</v>
      </c>
      <c r="BI62" s="11">
        <f>F62*AP62</f>
        <v>0</v>
      </c>
      <c r="BJ62" s="11">
        <f>F62*G62</f>
        <v>0</v>
      </c>
      <c r="BK62" s="12" t="s">
        <v>64</v>
      </c>
      <c r="BL62" s="11">
        <v>731</v>
      </c>
      <c r="BW62" s="11">
        <v>21</v>
      </c>
      <c r="BX62" s="3" t="s">
        <v>215</v>
      </c>
    </row>
    <row r="63" spans="1:76">
      <c r="A63" s="29" t="s">
        <v>216</v>
      </c>
      <c r="B63" s="2" t="s">
        <v>217</v>
      </c>
      <c r="C63" s="40" t="s">
        <v>218</v>
      </c>
      <c r="D63" s="38"/>
      <c r="E63" s="2" t="s">
        <v>60</v>
      </c>
      <c r="F63" s="11">
        <v>2</v>
      </c>
      <c r="G63" s="109">
        <v>0</v>
      </c>
      <c r="H63" s="11">
        <f>ROUND(F63*AO63,2)</f>
        <v>0</v>
      </c>
      <c r="I63" s="11">
        <f>ROUND(F63*AP63,2)</f>
        <v>0</v>
      </c>
      <c r="J63" s="11">
        <f>ROUND(F63*G63,2)</f>
        <v>0</v>
      </c>
      <c r="K63" s="108" t="s">
        <v>52</v>
      </c>
      <c r="Z63" s="11">
        <f>ROUND(IF(AQ63="5",BJ63,0),2)</f>
        <v>0</v>
      </c>
      <c r="AB63" s="11">
        <f>ROUND(IF(AQ63="1",BH63,0),2)</f>
        <v>0</v>
      </c>
      <c r="AC63" s="11">
        <f>ROUND(IF(AQ63="1",BI63,0),2)</f>
        <v>0</v>
      </c>
      <c r="AD63" s="11">
        <f>ROUND(IF(AQ63="7",BH63,0),2)</f>
        <v>0</v>
      </c>
      <c r="AE63" s="11">
        <f>ROUND(IF(AQ63="7",BI63,0),2)</f>
        <v>0</v>
      </c>
      <c r="AF63" s="11">
        <f>ROUND(IF(AQ63="2",BH63,0),2)</f>
        <v>0</v>
      </c>
      <c r="AG63" s="11">
        <f>ROUND(IF(AQ63="2",BI63,0),2)</f>
        <v>0</v>
      </c>
      <c r="AH63" s="11">
        <f>ROUND(IF(AQ63="0",BJ63,0),2)</f>
        <v>0</v>
      </c>
      <c r="AI63" s="6" t="s">
        <v>56</v>
      </c>
      <c r="AJ63" s="11">
        <f>IF(AN63=0,J63,0)</f>
        <v>0</v>
      </c>
      <c r="AK63" s="11">
        <f>IF(AN63=12,J63,0)</f>
        <v>0</v>
      </c>
      <c r="AL63" s="11">
        <f>IF(AN63=21,J63,0)</f>
        <v>0</v>
      </c>
      <c r="AN63" s="11">
        <v>21</v>
      </c>
      <c r="AO63" s="11">
        <f>G63*1</f>
        <v>0</v>
      </c>
      <c r="AP63" s="11">
        <f>G63*(1-1)</f>
        <v>0</v>
      </c>
      <c r="AQ63" s="12" t="s">
        <v>81</v>
      </c>
      <c r="AV63" s="11">
        <f>ROUND(AW63+AX63,2)</f>
        <v>0</v>
      </c>
      <c r="AW63" s="11">
        <f>ROUND(F63*AO63,2)</f>
        <v>0</v>
      </c>
      <c r="AX63" s="11">
        <f>ROUND(F63*AP63,2)</f>
        <v>0</v>
      </c>
      <c r="AY63" s="12" t="s">
        <v>182</v>
      </c>
      <c r="AZ63" s="12" t="s">
        <v>183</v>
      </c>
      <c r="BA63" s="6" t="s">
        <v>63</v>
      </c>
      <c r="BC63" s="11">
        <f>AW63+AX63</f>
        <v>0</v>
      </c>
      <c r="BD63" s="11">
        <f>G63/(100-BE63)*100</f>
        <v>0</v>
      </c>
      <c r="BE63" s="11">
        <v>0</v>
      </c>
      <c r="BF63" s="11">
        <f>63</f>
        <v>63</v>
      </c>
      <c r="BH63" s="11">
        <f>F63*AO63</f>
        <v>0</v>
      </c>
      <c r="BI63" s="11">
        <f>F63*AP63</f>
        <v>0</v>
      </c>
      <c r="BJ63" s="11">
        <f>F63*G63</f>
        <v>0</v>
      </c>
      <c r="BK63" s="12" t="s">
        <v>64</v>
      </c>
      <c r="BL63" s="11">
        <v>731</v>
      </c>
      <c r="BW63" s="11">
        <v>21</v>
      </c>
      <c r="BX63" s="3" t="s">
        <v>218</v>
      </c>
    </row>
    <row r="64" spans="1:76">
      <c r="A64" s="29" t="s">
        <v>219</v>
      </c>
      <c r="B64" s="2" t="s">
        <v>220</v>
      </c>
      <c r="C64" s="40" t="s">
        <v>221</v>
      </c>
      <c r="D64" s="38"/>
      <c r="E64" s="2" t="s">
        <v>60</v>
      </c>
      <c r="F64" s="11">
        <v>2</v>
      </c>
      <c r="G64" s="109">
        <v>0</v>
      </c>
      <c r="H64" s="11">
        <f>ROUND(F64*AO64,2)</f>
        <v>0</v>
      </c>
      <c r="I64" s="11">
        <f>ROUND(F64*AP64,2)</f>
        <v>0</v>
      </c>
      <c r="J64" s="11">
        <f>ROUND(F64*G64,2)</f>
        <v>0</v>
      </c>
      <c r="K64" s="108" t="s">
        <v>52</v>
      </c>
      <c r="Z64" s="11">
        <f>ROUND(IF(AQ64="5",BJ64,0),2)</f>
        <v>0</v>
      </c>
      <c r="AB64" s="11">
        <f>ROUND(IF(AQ64="1",BH64,0),2)</f>
        <v>0</v>
      </c>
      <c r="AC64" s="11">
        <f>ROUND(IF(AQ64="1",BI64,0),2)</f>
        <v>0</v>
      </c>
      <c r="AD64" s="11">
        <f>ROUND(IF(AQ64="7",BH64,0),2)</f>
        <v>0</v>
      </c>
      <c r="AE64" s="11">
        <f>ROUND(IF(AQ64="7",BI64,0),2)</f>
        <v>0</v>
      </c>
      <c r="AF64" s="11">
        <f>ROUND(IF(AQ64="2",BH64,0),2)</f>
        <v>0</v>
      </c>
      <c r="AG64" s="11">
        <f>ROUND(IF(AQ64="2",BI64,0),2)</f>
        <v>0</v>
      </c>
      <c r="AH64" s="11">
        <f>ROUND(IF(AQ64="0",BJ64,0),2)</f>
        <v>0</v>
      </c>
      <c r="AI64" s="6" t="s">
        <v>56</v>
      </c>
      <c r="AJ64" s="11">
        <f>IF(AN64=0,J64,0)</f>
        <v>0</v>
      </c>
      <c r="AK64" s="11">
        <f>IF(AN64=12,J64,0)</f>
        <v>0</v>
      </c>
      <c r="AL64" s="11">
        <f>IF(AN64=21,J64,0)</f>
        <v>0</v>
      </c>
      <c r="AN64" s="11">
        <v>21</v>
      </c>
      <c r="AO64" s="11">
        <f>G64*1</f>
        <v>0</v>
      </c>
      <c r="AP64" s="11">
        <f>G64*(1-1)</f>
        <v>0</v>
      </c>
      <c r="AQ64" s="12" t="s">
        <v>81</v>
      </c>
      <c r="AV64" s="11">
        <f>ROUND(AW64+AX64,2)</f>
        <v>0</v>
      </c>
      <c r="AW64" s="11">
        <f>ROUND(F64*AO64,2)</f>
        <v>0</v>
      </c>
      <c r="AX64" s="11">
        <f>ROUND(F64*AP64,2)</f>
        <v>0</v>
      </c>
      <c r="AY64" s="12" t="s">
        <v>182</v>
      </c>
      <c r="AZ64" s="12" t="s">
        <v>183</v>
      </c>
      <c r="BA64" s="6" t="s">
        <v>63</v>
      </c>
      <c r="BC64" s="11">
        <f>AW64+AX64</f>
        <v>0</v>
      </c>
      <c r="BD64" s="11">
        <f>G64/(100-BE64)*100</f>
        <v>0</v>
      </c>
      <c r="BE64" s="11">
        <v>0</v>
      </c>
      <c r="BF64" s="11">
        <f>64</f>
        <v>64</v>
      </c>
      <c r="BH64" s="11">
        <f>F64*AO64</f>
        <v>0</v>
      </c>
      <c r="BI64" s="11">
        <f>F64*AP64</f>
        <v>0</v>
      </c>
      <c r="BJ64" s="11">
        <f>F64*G64</f>
        <v>0</v>
      </c>
      <c r="BK64" s="12" t="s">
        <v>64</v>
      </c>
      <c r="BL64" s="11">
        <v>731</v>
      </c>
      <c r="BW64" s="11">
        <v>21</v>
      </c>
      <c r="BX64" s="3" t="s">
        <v>221</v>
      </c>
    </row>
    <row r="65" spans="1:76">
      <c r="A65" s="29" t="s">
        <v>222</v>
      </c>
      <c r="B65" s="2" t="s">
        <v>223</v>
      </c>
      <c r="C65" s="40" t="s">
        <v>224</v>
      </c>
      <c r="D65" s="38"/>
      <c r="E65" s="2" t="s">
        <v>60</v>
      </c>
      <c r="F65" s="11">
        <v>1</v>
      </c>
      <c r="G65" s="109">
        <v>0</v>
      </c>
      <c r="H65" s="11">
        <f>ROUND(F65*AO65,2)</f>
        <v>0</v>
      </c>
      <c r="I65" s="11">
        <f>ROUND(F65*AP65,2)</f>
        <v>0</v>
      </c>
      <c r="J65" s="11">
        <f>ROUND(F65*G65,2)</f>
        <v>0</v>
      </c>
      <c r="K65" s="108" t="s">
        <v>52</v>
      </c>
      <c r="Z65" s="11">
        <f>ROUND(IF(AQ65="5",BJ65,0),2)</f>
        <v>0</v>
      </c>
      <c r="AB65" s="11">
        <f>ROUND(IF(AQ65="1",BH65,0),2)</f>
        <v>0</v>
      </c>
      <c r="AC65" s="11">
        <f>ROUND(IF(AQ65="1",BI65,0),2)</f>
        <v>0</v>
      </c>
      <c r="AD65" s="11">
        <f>ROUND(IF(AQ65="7",BH65,0),2)</f>
        <v>0</v>
      </c>
      <c r="AE65" s="11">
        <f>ROUND(IF(AQ65="7",BI65,0),2)</f>
        <v>0</v>
      </c>
      <c r="AF65" s="11">
        <f>ROUND(IF(AQ65="2",BH65,0),2)</f>
        <v>0</v>
      </c>
      <c r="AG65" s="11">
        <f>ROUND(IF(AQ65="2",BI65,0),2)</f>
        <v>0</v>
      </c>
      <c r="AH65" s="11">
        <f>ROUND(IF(AQ65="0",BJ65,0),2)</f>
        <v>0</v>
      </c>
      <c r="AI65" s="6" t="s">
        <v>56</v>
      </c>
      <c r="AJ65" s="11">
        <f>IF(AN65=0,J65,0)</f>
        <v>0</v>
      </c>
      <c r="AK65" s="11">
        <f>IF(AN65=12,J65,0)</f>
        <v>0</v>
      </c>
      <c r="AL65" s="11">
        <f>IF(AN65=21,J65,0)</f>
        <v>0</v>
      </c>
      <c r="AN65" s="11">
        <v>21</v>
      </c>
      <c r="AO65" s="11">
        <f>G65*1</f>
        <v>0</v>
      </c>
      <c r="AP65" s="11">
        <f>G65*(1-1)</f>
        <v>0</v>
      </c>
      <c r="AQ65" s="12" t="s">
        <v>81</v>
      </c>
      <c r="AV65" s="11">
        <f>ROUND(AW65+AX65,2)</f>
        <v>0</v>
      </c>
      <c r="AW65" s="11">
        <f>ROUND(F65*AO65,2)</f>
        <v>0</v>
      </c>
      <c r="AX65" s="11">
        <f>ROUND(F65*AP65,2)</f>
        <v>0</v>
      </c>
      <c r="AY65" s="12" t="s">
        <v>182</v>
      </c>
      <c r="AZ65" s="12" t="s">
        <v>183</v>
      </c>
      <c r="BA65" s="6" t="s">
        <v>63</v>
      </c>
      <c r="BC65" s="11">
        <f>AW65+AX65</f>
        <v>0</v>
      </c>
      <c r="BD65" s="11">
        <f>G65/(100-BE65)*100</f>
        <v>0</v>
      </c>
      <c r="BE65" s="11">
        <v>0</v>
      </c>
      <c r="BF65" s="11">
        <f>65</f>
        <v>65</v>
      </c>
      <c r="BH65" s="11">
        <f>F65*AO65</f>
        <v>0</v>
      </c>
      <c r="BI65" s="11">
        <f>F65*AP65</f>
        <v>0</v>
      </c>
      <c r="BJ65" s="11">
        <f>F65*G65</f>
        <v>0</v>
      </c>
      <c r="BK65" s="12" t="s">
        <v>64</v>
      </c>
      <c r="BL65" s="11">
        <v>731</v>
      </c>
      <c r="BW65" s="11">
        <v>21</v>
      </c>
      <c r="BX65" s="3" t="s">
        <v>224</v>
      </c>
    </row>
    <row r="66" spans="1:76">
      <c r="A66" s="29" t="s">
        <v>225</v>
      </c>
      <c r="B66" s="2" t="s">
        <v>226</v>
      </c>
      <c r="C66" s="40" t="s">
        <v>227</v>
      </c>
      <c r="D66" s="38"/>
      <c r="E66" s="2" t="s">
        <v>60</v>
      </c>
      <c r="F66" s="11">
        <v>2</v>
      </c>
      <c r="G66" s="109">
        <v>0</v>
      </c>
      <c r="H66" s="11">
        <f>ROUND(F66*AO66,2)</f>
        <v>0</v>
      </c>
      <c r="I66" s="11">
        <f>ROUND(F66*AP66,2)</f>
        <v>0</v>
      </c>
      <c r="J66" s="11">
        <f>ROUND(F66*G66,2)</f>
        <v>0</v>
      </c>
      <c r="K66" s="108" t="s">
        <v>52</v>
      </c>
      <c r="Z66" s="11">
        <f>ROUND(IF(AQ66="5",BJ66,0),2)</f>
        <v>0</v>
      </c>
      <c r="AB66" s="11">
        <f>ROUND(IF(AQ66="1",BH66,0),2)</f>
        <v>0</v>
      </c>
      <c r="AC66" s="11">
        <f>ROUND(IF(AQ66="1",BI66,0),2)</f>
        <v>0</v>
      </c>
      <c r="AD66" s="11">
        <f>ROUND(IF(AQ66="7",BH66,0),2)</f>
        <v>0</v>
      </c>
      <c r="AE66" s="11">
        <f>ROUND(IF(AQ66="7",BI66,0),2)</f>
        <v>0</v>
      </c>
      <c r="AF66" s="11">
        <f>ROUND(IF(AQ66="2",BH66,0),2)</f>
        <v>0</v>
      </c>
      <c r="AG66" s="11">
        <f>ROUND(IF(AQ66="2",BI66,0),2)</f>
        <v>0</v>
      </c>
      <c r="AH66" s="11">
        <f>ROUND(IF(AQ66="0",BJ66,0),2)</f>
        <v>0</v>
      </c>
      <c r="AI66" s="6" t="s">
        <v>56</v>
      </c>
      <c r="AJ66" s="11">
        <f>IF(AN66=0,J66,0)</f>
        <v>0</v>
      </c>
      <c r="AK66" s="11">
        <f>IF(AN66=12,J66,0)</f>
        <v>0</v>
      </c>
      <c r="AL66" s="11">
        <f>IF(AN66=21,J66,0)</f>
        <v>0</v>
      </c>
      <c r="AN66" s="11">
        <v>21</v>
      </c>
      <c r="AO66" s="11">
        <f>G66*1</f>
        <v>0</v>
      </c>
      <c r="AP66" s="11">
        <f>G66*(1-1)</f>
        <v>0</v>
      </c>
      <c r="AQ66" s="12" t="s">
        <v>81</v>
      </c>
      <c r="AV66" s="11">
        <f>ROUND(AW66+AX66,2)</f>
        <v>0</v>
      </c>
      <c r="AW66" s="11">
        <f>ROUND(F66*AO66,2)</f>
        <v>0</v>
      </c>
      <c r="AX66" s="11">
        <f>ROUND(F66*AP66,2)</f>
        <v>0</v>
      </c>
      <c r="AY66" s="12" t="s">
        <v>182</v>
      </c>
      <c r="AZ66" s="12" t="s">
        <v>183</v>
      </c>
      <c r="BA66" s="6" t="s">
        <v>63</v>
      </c>
      <c r="BC66" s="11">
        <f>AW66+AX66</f>
        <v>0</v>
      </c>
      <c r="BD66" s="11">
        <f>G66/(100-BE66)*100</f>
        <v>0</v>
      </c>
      <c r="BE66" s="11">
        <v>0</v>
      </c>
      <c r="BF66" s="11">
        <f>66</f>
        <v>66</v>
      </c>
      <c r="BH66" s="11">
        <f>F66*AO66</f>
        <v>0</v>
      </c>
      <c r="BI66" s="11">
        <f>F66*AP66</f>
        <v>0</v>
      </c>
      <c r="BJ66" s="11">
        <f>F66*G66</f>
        <v>0</v>
      </c>
      <c r="BK66" s="12" t="s">
        <v>64</v>
      </c>
      <c r="BL66" s="11">
        <v>731</v>
      </c>
      <c r="BW66" s="11">
        <v>21</v>
      </c>
      <c r="BX66" s="3" t="s">
        <v>227</v>
      </c>
    </row>
    <row r="67" spans="1:76">
      <c r="A67" s="29" t="s">
        <v>228</v>
      </c>
      <c r="B67" s="2" t="s">
        <v>229</v>
      </c>
      <c r="C67" s="40" t="s">
        <v>230</v>
      </c>
      <c r="D67" s="38"/>
      <c r="E67" s="2" t="s">
        <v>60</v>
      </c>
      <c r="F67" s="11">
        <v>1</v>
      </c>
      <c r="G67" s="109">
        <v>0</v>
      </c>
      <c r="H67" s="11">
        <f>ROUND(F67*AO67,2)</f>
        <v>0</v>
      </c>
      <c r="I67" s="11">
        <f>ROUND(F67*AP67,2)</f>
        <v>0</v>
      </c>
      <c r="J67" s="11">
        <f>ROUND(F67*G67,2)</f>
        <v>0</v>
      </c>
      <c r="K67" s="108" t="s">
        <v>52</v>
      </c>
      <c r="Z67" s="11">
        <f>ROUND(IF(AQ67="5",BJ67,0),2)</f>
        <v>0</v>
      </c>
      <c r="AB67" s="11">
        <f>ROUND(IF(AQ67="1",BH67,0),2)</f>
        <v>0</v>
      </c>
      <c r="AC67" s="11">
        <f>ROUND(IF(AQ67="1",BI67,0),2)</f>
        <v>0</v>
      </c>
      <c r="AD67" s="11">
        <f>ROUND(IF(AQ67="7",BH67,0),2)</f>
        <v>0</v>
      </c>
      <c r="AE67" s="11">
        <f>ROUND(IF(AQ67="7",BI67,0),2)</f>
        <v>0</v>
      </c>
      <c r="AF67" s="11">
        <f>ROUND(IF(AQ67="2",BH67,0),2)</f>
        <v>0</v>
      </c>
      <c r="AG67" s="11">
        <f>ROUND(IF(AQ67="2",BI67,0),2)</f>
        <v>0</v>
      </c>
      <c r="AH67" s="11">
        <f>ROUND(IF(AQ67="0",BJ67,0),2)</f>
        <v>0</v>
      </c>
      <c r="AI67" s="6" t="s">
        <v>56</v>
      </c>
      <c r="AJ67" s="11">
        <f>IF(AN67=0,J67,0)</f>
        <v>0</v>
      </c>
      <c r="AK67" s="11">
        <f>IF(AN67=12,J67,0)</f>
        <v>0</v>
      </c>
      <c r="AL67" s="11">
        <f>IF(AN67=21,J67,0)</f>
        <v>0</v>
      </c>
      <c r="AN67" s="11">
        <v>21</v>
      </c>
      <c r="AO67" s="11">
        <f>G67*1</f>
        <v>0</v>
      </c>
      <c r="AP67" s="11">
        <f>G67*(1-1)</f>
        <v>0</v>
      </c>
      <c r="AQ67" s="12" t="s">
        <v>81</v>
      </c>
      <c r="AV67" s="11">
        <f>ROUND(AW67+AX67,2)</f>
        <v>0</v>
      </c>
      <c r="AW67" s="11">
        <f>ROUND(F67*AO67,2)</f>
        <v>0</v>
      </c>
      <c r="AX67" s="11">
        <f>ROUND(F67*AP67,2)</f>
        <v>0</v>
      </c>
      <c r="AY67" s="12" t="s">
        <v>182</v>
      </c>
      <c r="AZ67" s="12" t="s">
        <v>183</v>
      </c>
      <c r="BA67" s="6" t="s">
        <v>63</v>
      </c>
      <c r="BC67" s="11">
        <f>AW67+AX67</f>
        <v>0</v>
      </c>
      <c r="BD67" s="11">
        <f>G67/(100-BE67)*100</f>
        <v>0</v>
      </c>
      <c r="BE67" s="11">
        <v>0</v>
      </c>
      <c r="BF67" s="11">
        <f>67</f>
        <v>67</v>
      </c>
      <c r="BH67" s="11">
        <f>F67*AO67</f>
        <v>0</v>
      </c>
      <c r="BI67" s="11">
        <f>F67*AP67</f>
        <v>0</v>
      </c>
      <c r="BJ67" s="11">
        <f>F67*G67</f>
        <v>0</v>
      </c>
      <c r="BK67" s="12" t="s">
        <v>64</v>
      </c>
      <c r="BL67" s="11">
        <v>731</v>
      </c>
      <c r="BW67" s="11">
        <v>21</v>
      </c>
      <c r="BX67" s="3" t="s">
        <v>230</v>
      </c>
    </row>
    <row r="68" spans="1:76">
      <c r="A68" s="29" t="s">
        <v>231</v>
      </c>
      <c r="B68" s="2" t="s">
        <v>232</v>
      </c>
      <c r="C68" s="40" t="s">
        <v>233</v>
      </c>
      <c r="D68" s="38"/>
      <c r="E68" s="2" t="s">
        <v>60</v>
      </c>
      <c r="F68" s="11">
        <v>4</v>
      </c>
      <c r="G68" s="109">
        <v>0</v>
      </c>
      <c r="H68" s="11">
        <f>ROUND(F68*AO68,2)</f>
        <v>0</v>
      </c>
      <c r="I68" s="11">
        <f>ROUND(F68*AP68,2)</f>
        <v>0</v>
      </c>
      <c r="J68" s="11">
        <f>ROUND(F68*G68,2)</f>
        <v>0</v>
      </c>
      <c r="K68" s="108" t="s">
        <v>52</v>
      </c>
      <c r="Z68" s="11">
        <f>ROUND(IF(AQ68="5",BJ68,0),2)</f>
        <v>0</v>
      </c>
      <c r="AB68" s="11">
        <f>ROUND(IF(AQ68="1",BH68,0),2)</f>
        <v>0</v>
      </c>
      <c r="AC68" s="11">
        <f>ROUND(IF(AQ68="1",BI68,0),2)</f>
        <v>0</v>
      </c>
      <c r="AD68" s="11">
        <f>ROUND(IF(AQ68="7",BH68,0),2)</f>
        <v>0</v>
      </c>
      <c r="AE68" s="11">
        <f>ROUND(IF(AQ68="7",BI68,0),2)</f>
        <v>0</v>
      </c>
      <c r="AF68" s="11">
        <f>ROUND(IF(AQ68="2",BH68,0),2)</f>
        <v>0</v>
      </c>
      <c r="AG68" s="11">
        <f>ROUND(IF(AQ68="2",BI68,0),2)</f>
        <v>0</v>
      </c>
      <c r="AH68" s="11">
        <f>ROUND(IF(AQ68="0",BJ68,0),2)</f>
        <v>0</v>
      </c>
      <c r="AI68" s="6" t="s">
        <v>56</v>
      </c>
      <c r="AJ68" s="11">
        <f>IF(AN68=0,J68,0)</f>
        <v>0</v>
      </c>
      <c r="AK68" s="11">
        <f>IF(AN68=12,J68,0)</f>
        <v>0</v>
      </c>
      <c r="AL68" s="11">
        <f>IF(AN68=21,J68,0)</f>
        <v>0</v>
      </c>
      <c r="AN68" s="11">
        <v>21</v>
      </c>
      <c r="AO68" s="11">
        <f>G68*1</f>
        <v>0</v>
      </c>
      <c r="AP68" s="11">
        <f>G68*(1-1)</f>
        <v>0</v>
      </c>
      <c r="AQ68" s="12" t="s">
        <v>81</v>
      </c>
      <c r="AV68" s="11">
        <f>ROUND(AW68+AX68,2)</f>
        <v>0</v>
      </c>
      <c r="AW68" s="11">
        <f>ROUND(F68*AO68,2)</f>
        <v>0</v>
      </c>
      <c r="AX68" s="11">
        <f>ROUND(F68*AP68,2)</f>
        <v>0</v>
      </c>
      <c r="AY68" s="12" t="s">
        <v>182</v>
      </c>
      <c r="AZ68" s="12" t="s">
        <v>183</v>
      </c>
      <c r="BA68" s="6" t="s">
        <v>63</v>
      </c>
      <c r="BC68" s="11">
        <f>AW68+AX68</f>
        <v>0</v>
      </c>
      <c r="BD68" s="11">
        <f>G68/(100-BE68)*100</f>
        <v>0</v>
      </c>
      <c r="BE68" s="11">
        <v>0</v>
      </c>
      <c r="BF68" s="11">
        <f>68</f>
        <v>68</v>
      </c>
      <c r="BH68" s="11">
        <f>F68*AO68</f>
        <v>0</v>
      </c>
      <c r="BI68" s="11">
        <f>F68*AP68</f>
        <v>0</v>
      </c>
      <c r="BJ68" s="11">
        <f>F68*G68</f>
        <v>0</v>
      </c>
      <c r="BK68" s="12" t="s">
        <v>64</v>
      </c>
      <c r="BL68" s="11">
        <v>731</v>
      </c>
      <c r="BW68" s="11">
        <v>21</v>
      </c>
      <c r="BX68" s="3" t="s">
        <v>233</v>
      </c>
    </row>
    <row r="69" spans="1:76">
      <c r="A69" s="29" t="s">
        <v>234</v>
      </c>
      <c r="B69" s="2" t="s">
        <v>235</v>
      </c>
      <c r="C69" s="40" t="s">
        <v>236</v>
      </c>
      <c r="D69" s="38"/>
      <c r="E69" s="2" t="s">
        <v>60</v>
      </c>
      <c r="F69" s="11">
        <v>1</v>
      </c>
      <c r="G69" s="109">
        <v>0</v>
      </c>
      <c r="H69" s="11">
        <f>ROUND(F69*AO69,2)</f>
        <v>0</v>
      </c>
      <c r="I69" s="11">
        <f>ROUND(F69*AP69,2)</f>
        <v>0</v>
      </c>
      <c r="J69" s="11">
        <f>ROUND(F69*G69,2)</f>
        <v>0</v>
      </c>
      <c r="K69" s="108" t="s">
        <v>52</v>
      </c>
      <c r="Z69" s="11">
        <f>ROUND(IF(AQ69="5",BJ69,0),2)</f>
        <v>0</v>
      </c>
      <c r="AB69" s="11">
        <f>ROUND(IF(AQ69="1",BH69,0),2)</f>
        <v>0</v>
      </c>
      <c r="AC69" s="11">
        <f>ROUND(IF(AQ69="1",BI69,0),2)</f>
        <v>0</v>
      </c>
      <c r="AD69" s="11">
        <f>ROUND(IF(AQ69="7",BH69,0),2)</f>
        <v>0</v>
      </c>
      <c r="AE69" s="11">
        <f>ROUND(IF(AQ69="7",BI69,0),2)</f>
        <v>0</v>
      </c>
      <c r="AF69" s="11">
        <f>ROUND(IF(AQ69="2",BH69,0),2)</f>
        <v>0</v>
      </c>
      <c r="AG69" s="11">
        <f>ROUND(IF(AQ69="2",BI69,0),2)</f>
        <v>0</v>
      </c>
      <c r="AH69" s="11">
        <f>ROUND(IF(AQ69="0",BJ69,0),2)</f>
        <v>0</v>
      </c>
      <c r="AI69" s="6" t="s">
        <v>56</v>
      </c>
      <c r="AJ69" s="11">
        <f>IF(AN69=0,J69,0)</f>
        <v>0</v>
      </c>
      <c r="AK69" s="11">
        <f>IF(AN69=12,J69,0)</f>
        <v>0</v>
      </c>
      <c r="AL69" s="11">
        <f>IF(AN69=21,J69,0)</f>
        <v>0</v>
      </c>
      <c r="AN69" s="11">
        <v>21</v>
      </c>
      <c r="AO69" s="11">
        <f>G69*1</f>
        <v>0</v>
      </c>
      <c r="AP69" s="11">
        <f>G69*(1-1)</f>
        <v>0</v>
      </c>
      <c r="AQ69" s="12" t="s">
        <v>81</v>
      </c>
      <c r="AV69" s="11">
        <f>ROUND(AW69+AX69,2)</f>
        <v>0</v>
      </c>
      <c r="AW69" s="11">
        <f>ROUND(F69*AO69,2)</f>
        <v>0</v>
      </c>
      <c r="AX69" s="11">
        <f>ROUND(F69*AP69,2)</f>
        <v>0</v>
      </c>
      <c r="AY69" s="12" t="s">
        <v>182</v>
      </c>
      <c r="AZ69" s="12" t="s">
        <v>183</v>
      </c>
      <c r="BA69" s="6" t="s">
        <v>63</v>
      </c>
      <c r="BC69" s="11">
        <f>AW69+AX69</f>
        <v>0</v>
      </c>
      <c r="BD69" s="11">
        <f>G69/(100-BE69)*100</f>
        <v>0</v>
      </c>
      <c r="BE69" s="11">
        <v>0</v>
      </c>
      <c r="BF69" s="11">
        <f>69</f>
        <v>69</v>
      </c>
      <c r="BH69" s="11">
        <f>F69*AO69</f>
        <v>0</v>
      </c>
      <c r="BI69" s="11">
        <f>F69*AP69</f>
        <v>0</v>
      </c>
      <c r="BJ69" s="11">
        <f>F69*G69</f>
        <v>0</v>
      </c>
      <c r="BK69" s="12" t="s">
        <v>64</v>
      </c>
      <c r="BL69" s="11">
        <v>731</v>
      </c>
      <c r="BW69" s="11">
        <v>21</v>
      </c>
      <c r="BX69" s="3" t="s">
        <v>236</v>
      </c>
    </row>
    <row r="70" spans="1:76">
      <c r="A70" s="29" t="s">
        <v>237</v>
      </c>
      <c r="B70" s="2" t="s">
        <v>238</v>
      </c>
      <c r="C70" s="40" t="s">
        <v>239</v>
      </c>
      <c r="D70" s="38"/>
      <c r="E70" s="2" t="s">
        <v>60</v>
      </c>
      <c r="F70" s="11">
        <v>1</v>
      </c>
      <c r="G70" s="109">
        <v>0</v>
      </c>
      <c r="H70" s="11">
        <f>ROUND(F70*AO70,2)</f>
        <v>0</v>
      </c>
      <c r="I70" s="11">
        <f>ROUND(F70*AP70,2)</f>
        <v>0</v>
      </c>
      <c r="J70" s="11">
        <f>ROUND(F70*G70,2)</f>
        <v>0</v>
      </c>
      <c r="K70" s="108" t="s">
        <v>52</v>
      </c>
      <c r="Z70" s="11">
        <f>ROUND(IF(AQ70="5",BJ70,0),2)</f>
        <v>0</v>
      </c>
      <c r="AB70" s="11">
        <f>ROUND(IF(AQ70="1",BH70,0),2)</f>
        <v>0</v>
      </c>
      <c r="AC70" s="11">
        <f>ROUND(IF(AQ70="1",BI70,0),2)</f>
        <v>0</v>
      </c>
      <c r="AD70" s="11">
        <f>ROUND(IF(AQ70="7",BH70,0),2)</f>
        <v>0</v>
      </c>
      <c r="AE70" s="11">
        <f>ROUND(IF(AQ70="7",BI70,0),2)</f>
        <v>0</v>
      </c>
      <c r="AF70" s="11">
        <f>ROUND(IF(AQ70="2",BH70,0),2)</f>
        <v>0</v>
      </c>
      <c r="AG70" s="11">
        <f>ROUND(IF(AQ70="2",BI70,0),2)</f>
        <v>0</v>
      </c>
      <c r="AH70" s="11">
        <f>ROUND(IF(AQ70="0",BJ70,0),2)</f>
        <v>0</v>
      </c>
      <c r="AI70" s="6" t="s">
        <v>56</v>
      </c>
      <c r="AJ70" s="11">
        <f>IF(AN70=0,J70,0)</f>
        <v>0</v>
      </c>
      <c r="AK70" s="11">
        <f>IF(AN70=12,J70,0)</f>
        <v>0</v>
      </c>
      <c r="AL70" s="11">
        <f>IF(AN70=21,J70,0)</f>
        <v>0</v>
      </c>
      <c r="AN70" s="11">
        <v>21</v>
      </c>
      <c r="AO70" s="11">
        <f>G70*1</f>
        <v>0</v>
      </c>
      <c r="AP70" s="11">
        <f>G70*(1-1)</f>
        <v>0</v>
      </c>
      <c r="AQ70" s="12" t="s">
        <v>81</v>
      </c>
      <c r="AV70" s="11">
        <f>ROUND(AW70+AX70,2)</f>
        <v>0</v>
      </c>
      <c r="AW70" s="11">
        <f>ROUND(F70*AO70,2)</f>
        <v>0</v>
      </c>
      <c r="AX70" s="11">
        <f>ROUND(F70*AP70,2)</f>
        <v>0</v>
      </c>
      <c r="AY70" s="12" t="s">
        <v>182</v>
      </c>
      <c r="AZ70" s="12" t="s">
        <v>183</v>
      </c>
      <c r="BA70" s="6" t="s">
        <v>63</v>
      </c>
      <c r="BC70" s="11">
        <f>AW70+AX70</f>
        <v>0</v>
      </c>
      <c r="BD70" s="11">
        <f>G70/(100-BE70)*100</f>
        <v>0</v>
      </c>
      <c r="BE70" s="11">
        <v>0</v>
      </c>
      <c r="BF70" s="11">
        <f>70</f>
        <v>70</v>
      </c>
      <c r="BH70" s="11">
        <f>F70*AO70</f>
        <v>0</v>
      </c>
      <c r="BI70" s="11">
        <f>F70*AP70</f>
        <v>0</v>
      </c>
      <c r="BJ70" s="11">
        <f>F70*G70</f>
        <v>0</v>
      </c>
      <c r="BK70" s="12" t="s">
        <v>64</v>
      </c>
      <c r="BL70" s="11">
        <v>731</v>
      </c>
      <c r="BW70" s="11">
        <v>21</v>
      </c>
      <c r="BX70" s="3" t="s">
        <v>239</v>
      </c>
    </row>
    <row r="71" spans="1:76">
      <c r="A71" s="29" t="s">
        <v>240</v>
      </c>
      <c r="B71" s="2" t="s">
        <v>241</v>
      </c>
      <c r="C71" s="40" t="s">
        <v>242</v>
      </c>
      <c r="D71" s="38"/>
      <c r="E71" s="2" t="s">
        <v>60</v>
      </c>
      <c r="F71" s="11">
        <v>1</v>
      </c>
      <c r="G71" s="109">
        <v>0</v>
      </c>
      <c r="H71" s="11">
        <f>ROUND(F71*AO71,2)</f>
        <v>0</v>
      </c>
      <c r="I71" s="11">
        <f>ROUND(F71*AP71,2)</f>
        <v>0</v>
      </c>
      <c r="J71" s="11">
        <f>ROUND(F71*G71,2)</f>
        <v>0</v>
      </c>
      <c r="K71" s="108" t="s">
        <v>52</v>
      </c>
      <c r="Z71" s="11">
        <f>ROUND(IF(AQ71="5",BJ71,0),2)</f>
        <v>0</v>
      </c>
      <c r="AB71" s="11">
        <f>ROUND(IF(AQ71="1",BH71,0),2)</f>
        <v>0</v>
      </c>
      <c r="AC71" s="11">
        <f>ROUND(IF(AQ71="1",BI71,0),2)</f>
        <v>0</v>
      </c>
      <c r="AD71" s="11">
        <f>ROUND(IF(AQ71="7",BH71,0),2)</f>
        <v>0</v>
      </c>
      <c r="AE71" s="11">
        <f>ROUND(IF(AQ71="7",BI71,0),2)</f>
        <v>0</v>
      </c>
      <c r="AF71" s="11">
        <f>ROUND(IF(AQ71="2",BH71,0),2)</f>
        <v>0</v>
      </c>
      <c r="AG71" s="11">
        <f>ROUND(IF(AQ71="2",BI71,0),2)</f>
        <v>0</v>
      </c>
      <c r="AH71" s="11">
        <f>ROUND(IF(AQ71="0",BJ71,0),2)</f>
        <v>0</v>
      </c>
      <c r="AI71" s="6" t="s">
        <v>56</v>
      </c>
      <c r="AJ71" s="11">
        <f>IF(AN71=0,J71,0)</f>
        <v>0</v>
      </c>
      <c r="AK71" s="11">
        <f>IF(AN71=12,J71,0)</f>
        <v>0</v>
      </c>
      <c r="AL71" s="11">
        <f>IF(AN71=21,J71,0)</f>
        <v>0</v>
      </c>
      <c r="AN71" s="11">
        <v>21</v>
      </c>
      <c r="AO71" s="11">
        <f>G71*1</f>
        <v>0</v>
      </c>
      <c r="AP71" s="11">
        <f>G71*(1-1)</f>
        <v>0</v>
      </c>
      <c r="AQ71" s="12" t="s">
        <v>81</v>
      </c>
      <c r="AV71" s="11">
        <f>ROUND(AW71+AX71,2)</f>
        <v>0</v>
      </c>
      <c r="AW71" s="11">
        <f>ROUND(F71*AO71,2)</f>
        <v>0</v>
      </c>
      <c r="AX71" s="11">
        <f>ROUND(F71*AP71,2)</f>
        <v>0</v>
      </c>
      <c r="AY71" s="12" t="s">
        <v>182</v>
      </c>
      <c r="AZ71" s="12" t="s">
        <v>183</v>
      </c>
      <c r="BA71" s="6" t="s">
        <v>63</v>
      </c>
      <c r="BC71" s="11">
        <f>AW71+AX71</f>
        <v>0</v>
      </c>
      <c r="BD71" s="11">
        <f>G71/(100-BE71)*100</f>
        <v>0</v>
      </c>
      <c r="BE71" s="11">
        <v>0</v>
      </c>
      <c r="BF71" s="11">
        <f>71</f>
        <v>71</v>
      </c>
      <c r="BH71" s="11">
        <f>F71*AO71</f>
        <v>0</v>
      </c>
      <c r="BI71" s="11">
        <f>F71*AP71</f>
        <v>0</v>
      </c>
      <c r="BJ71" s="11">
        <f>F71*G71</f>
        <v>0</v>
      </c>
      <c r="BK71" s="12" t="s">
        <v>64</v>
      </c>
      <c r="BL71" s="11">
        <v>731</v>
      </c>
      <c r="BW71" s="11">
        <v>21</v>
      </c>
      <c r="BX71" s="3" t="s">
        <v>242</v>
      </c>
    </row>
    <row r="72" spans="1:76">
      <c r="A72" s="29" t="s">
        <v>243</v>
      </c>
      <c r="B72" s="2" t="s">
        <v>244</v>
      </c>
      <c r="C72" s="40" t="s">
        <v>245</v>
      </c>
      <c r="D72" s="38"/>
      <c r="E72" s="2" t="s">
        <v>127</v>
      </c>
      <c r="F72" s="11">
        <v>3.5</v>
      </c>
      <c r="G72" s="109">
        <v>0</v>
      </c>
      <c r="H72" s="11">
        <f>ROUND(F72*AO72,2)</f>
        <v>0</v>
      </c>
      <c r="I72" s="11">
        <f>ROUND(F72*AP72,2)</f>
        <v>0</v>
      </c>
      <c r="J72" s="11">
        <f>ROUND(F72*G72,2)</f>
        <v>0</v>
      </c>
      <c r="K72" s="108" t="s">
        <v>111</v>
      </c>
      <c r="Z72" s="11">
        <f>ROUND(IF(AQ72="5",BJ72,0),2)</f>
        <v>0</v>
      </c>
      <c r="AB72" s="11">
        <f>ROUND(IF(AQ72="1",BH72,0),2)</f>
        <v>0</v>
      </c>
      <c r="AC72" s="11">
        <f>ROUND(IF(AQ72="1",BI72,0),2)</f>
        <v>0</v>
      </c>
      <c r="AD72" s="11">
        <f>ROUND(IF(AQ72="7",BH72,0),2)</f>
        <v>0</v>
      </c>
      <c r="AE72" s="11">
        <f>ROUND(IF(AQ72="7",BI72,0),2)</f>
        <v>0</v>
      </c>
      <c r="AF72" s="11">
        <f>ROUND(IF(AQ72="2",BH72,0),2)</f>
        <v>0</v>
      </c>
      <c r="AG72" s="11">
        <f>ROUND(IF(AQ72="2",BI72,0),2)</f>
        <v>0</v>
      </c>
      <c r="AH72" s="11">
        <f>ROUND(IF(AQ72="0",BJ72,0),2)</f>
        <v>0</v>
      </c>
      <c r="AI72" s="6" t="s">
        <v>56</v>
      </c>
      <c r="AJ72" s="11">
        <f>IF(AN72=0,J72,0)</f>
        <v>0</v>
      </c>
      <c r="AK72" s="11">
        <f>IF(AN72=12,J72,0)</f>
        <v>0</v>
      </c>
      <c r="AL72" s="11">
        <f>IF(AN72=21,J72,0)</f>
        <v>0</v>
      </c>
      <c r="AN72" s="11">
        <v>21</v>
      </c>
      <c r="AO72" s="11">
        <f>G72*0</f>
        <v>0</v>
      </c>
      <c r="AP72" s="11">
        <f>G72*(1-0)</f>
        <v>0</v>
      </c>
      <c r="AQ72" s="12" t="s">
        <v>74</v>
      </c>
      <c r="AV72" s="11">
        <f>ROUND(AW72+AX72,2)</f>
        <v>0</v>
      </c>
      <c r="AW72" s="11">
        <f>ROUND(F72*AO72,2)</f>
        <v>0</v>
      </c>
      <c r="AX72" s="11">
        <f>ROUND(F72*AP72,2)</f>
        <v>0</v>
      </c>
      <c r="AY72" s="12" t="s">
        <v>182</v>
      </c>
      <c r="AZ72" s="12" t="s">
        <v>183</v>
      </c>
      <c r="BA72" s="6" t="s">
        <v>63</v>
      </c>
      <c r="BC72" s="11">
        <f>AW72+AX72</f>
        <v>0</v>
      </c>
      <c r="BD72" s="11">
        <f>G72/(100-BE72)*100</f>
        <v>0</v>
      </c>
      <c r="BE72" s="11">
        <v>0</v>
      </c>
      <c r="BF72" s="11">
        <f>72</f>
        <v>72</v>
      </c>
      <c r="BH72" s="11">
        <f>F72*AO72</f>
        <v>0</v>
      </c>
      <c r="BI72" s="11">
        <f>F72*AP72</f>
        <v>0</v>
      </c>
      <c r="BJ72" s="11">
        <f>F72*G72</f>
        <v>0</v>
      </c>
      <c r="BK72" s="12" t="s">
        <v>64</v>
      </c>
      <c r="BL72" s="11">
        <v>731</v>
      </c>
      <c r="BW72" s="11">
        <v>21</v>
      </c>
      <c r="BX72" s="3" t="s">
        <v>245</v>
      </c>
    </row>
    <row r="73" spans="1:76">
      <c r="A73" s="29" t="s">
        <v>246</v>
      </c>
      <c r="B73" s="30" t="s">
        <v>247</v>
      </c>
      <c r="C73" s="105" t="s">
        <v>248</v>
      </c>
      <c r="D73" s="70"/>
      <c r="E73" s="30" t="s">
        <v>127</v>
      </c>
      <c r="F73" s="106">
        <v>3.5</v>
      </c>
      <c r="G73" s="107">
        <v>0</v>
      </c>
      <c r="H73" s="106">
        <f>ROUND(F73*AO73,2)</f>
        <v>0</v>
      </c>
      <c r="I73" s="106">
        <f>ROUND(F73*AP73,2)</f>
        <v>0</v>
      </c>
      <c r="J73" s="106">
        <f>ROUND(F73*G73,2)</f>
        <v>0</v>
      </c>
      <c r="K73" s="108" t="s">
        <v>111</v>
      </c>
      <c r="Z73" s="11">
        <f>ROUND(IF(AQ73="5",BJ73,0),2)</f>
        <v>0</v>
      </c>
      <c r="AB73" s="11">
        <f>ROUND(IF(AQ73="1",BH73,0),2)</f>
        <v>0</v>
      </c>
      <c r="AC73" s="11">
        <f>ROUND(IF(AQ73="1",BI73,0),2)</f>
        <v>0</v>
      </c>
      <c r="AD73" s="11">
        <f>ROUND(IF(AQ73="7",BH73,0),2)</f>
        <v>0</v>
      </c>
      <c r="AE73" s="11">
        <f>ROUND(IF(AQ73="7",BI73,0),2)</f>
        <v>0</v>
      </c>
      <c r="AF73" s="11">
        <f>ROUND(IF(AQ73="2",BH73,0),2)</f>
        <v>0</v>
      </c>
      <c r="AG73" s="11">
        <f>ROUND(IF(AQ73="2",BI73,0),2)</f>
        <v>0</v>
      </c>
      <c r="AH73" s="11">
        <f>ROUND(IF(AQ73="0",BJ73,0),2)</f>
        <v>0</v>
      </c>
      <c r="AI73" s="6" t="s">
        <v>56</v>
      </c>
      <c r="AJ73" s="11">
        <f>IF(AN73=0,J73,0)</f>
        <v>0</v>
      </c>
      <c r="AK73" s="11">
        <f>IF(AN73=12,J73,0)</f>
        <v>0</v>
      </c>
      <c r="AL73" s="11">
        <f>IF(AN73=21,J73,0)</f>
        <v>0</v>
      </c>
      <c r="AN73" s="11">
        <v>21</v>
      </c>
      <c r="AO73" s="11">
        <f>G73*0</f>
        <v>0</v>
      </c>
      <c r="AP73" s="11">
        <f>G73*(1-0)</f>
        <v>0</v>
      </c>
      <c r="AQ73" s="12" t="s">
        <v>74</v>
      </c>
      <c r="AV73" s="11">
        <f>ROUND(AW73+AX73,2)</f>
        <v>0</v>
      </c>
      <c r="AW73" s="11">
        <f>ROUND(F73*AO73,2)</f>
        <v>0</v>
      </c>
      <c r="AX73" s="11">
        <f>ROUND(F73*AP73,2)</f>
        <v>0</v>
      </c>
      <c r="AY73" s="12" t="s">
        <v>182</v>
      </c>
      <c r="AZ73" s="12" t="s">
        <v>183</v>
      </c>
      <c r="BA73" s="6" t="s">
        <v>63</v>
      </c>
      <c r="BC73" s="11">
        <f>AW73+AX73</f>
        <v>0</v>
      </c>
      <c r="BD73" s="11">
        <f>G73/(100-BE73)*100</f>
        <v>0</v>
      </c>
      <c r="BE73" s="11">
        <v>0</v>
      </c>
      <c r="BF73" s="11">
        <f>73</f>
        <v>73</v>
      </c>
      <c r="BH73" s="11">
        <f>F73*AO73</f>
        <v>0</v>
      </c>
      <c r="BI73" s="11">
        <f>F73*AP73</f>
        <v>0</v>
      </c>
      <c r="BJ73" s="11">
        <f>F73*G73</f>
        <v>0</v>
      </c>
      <c r="BK73" s="12" t="s">
        <v>64</v>
      </c>
      <c r="BL73" s="11">
        <v>731</v>
      </c>
      <c r="BW73" s="11">
        <v>21</v>
      </c>
      <c r="BX73" s="3" t="s">
        <v>248</v>
      </c>
    </row>
    <row r="74" spans="1:76">
      <c r="A74" s="13" t="s">
        <v>52</v>
      </c>
      <c r="B74" s="100" t="s">
        <v>249</v>
      </c>
      <c r="C74" s="101" t="s">
        <v>250</v>
      </c>
      <c r="D74" s="102"/>
      <c r="E74" s="103" t="s">
        <v>4</v>
      </c>
      <c r="F74" s="103" t="s">
        <v>4</v>
      </c>
      <c r="G74" s="97" t="s">
        <v>4</v>
      </c>
      <c r="H74" s="104">
        <f>SUM(H75:H94)</f>
        <v>0</v>
      </c>
      <c r="I74" s="104">
        <f>SUM(I75:I94)</f>
        <v>0</v>
      </c>
      <c r="J74" s="104">
        <f>SUM(J75:J94)</f>
        <v>0</v>
      </c>
      <c r="K74" s="14" t="s">
        <v>52</v>
      </c>
      <c r="AI74" s="6" t="s">
        <v>56</v>
      </c>
      <c r="AS74" s="1">
        <f>SUM(AJ75:AJ94)</f>
        <v>0</v>
      </c>
      <c r="AT74" s="1">
        <f>SUM(AK75:AK94)</f>
        <v>0</v>
      </c>
      <c r="AU74" s="1">
        <f>SUM(AL75:AL94)</f>
        <v>0</v>
      </c>
    </row>
    <row r="75" spans="1:76">
      <c r="A75" s="29" t="s">
        <v>251</v>
      </c>
      <c r="B75" s="30" t="s">
        <v>252</v>
      </c>
      <c r="C75" s="105" t="s">
        <v>253</v>
      </c>
      <c r="D75" s="70"/>
      <c r="E75" s="30" t="s">
        <v>254</v>
      </c>
      <c r="F75" s="106">
        <v>1</v>
      </c>
      <c r="G75" s="107">
        <v>0</v>
      </c>
      <c r="H75" s="106">
        <f>ROUND(F75*AO75,2)</f>
        <v>0</v>
      </c>
      <c r="I75" s="106">
        <f>ROUND(F75*AP75,2)</f>
        <v>0</v>
      </c>
      <c r="J75" s="106">
        <f>ROUND(F75*G75,2)</f>
        <v>0</v>
      </c>
      <c r="K75" s="108" t="s">
        <v>111</v>
      </c>
      <c r="Z75" s="11">
        <f>ROUND(IF(AQ75="5",BJ75,0),2)</f>
        <v>0</v>
      </c>
      <c r="AB75" s="11">
        <f>ROUND(IF(AQ75="1",BH75,0),2)</f>
        <v>0</v>
      </c>
      <c r="AC75" s="11">
        <f>ROUND(IF(AQ75="1",BI75,0),2)</f>
        <v>0</v>
      </c>
      <c r="AD75" s="11">
        <f>ROUND(IF(AQ75="7",BH75,0),2)</f>
        <v>0</v>
      </c>
      <c r="AE75" s="11">
        <f>ROUND(IF(AQ75="7",BI75,0),2)</f>
        <v>0</v>
      </c>
      <c r="AF75" s="11">
        <f>ROUND(IF(AQ75="2",BH75,0),2)</f>
        <v>0</v>
      </c>
      <c r="AG75" s="11">
        <f>ROUND(IF(AQ75="2",BI75,0),2)</f>
        <v>0</v>
      </c>
      <c r="AH75" s="11">
        <f>ROUND(IF(AQ75="0",BJ75,0),2)</f>
        <v>0</v>
      </c>
      <c r="AI75" s="6" t="s">
        <v>56</v>
      </c>
      <c r="AJ75" s="11">
        <f>IF(AN75=0,J75,0)</f>
        <v>0</v>
      </c>
      <c r="AK75" s="11">
        <f>IF(AN75=12,J75,0)</f>
        <v>0</v>
      </c>
      <c r="AL75" s="11">
        <f>IF(AN75=21,J75,0)</f>
        <v>0</v>
      </c>
      <c r="AN75" s="11">
        <v>21</v>
      </c>
      <c r="AO75" s="11">
        <f>G75*0</f>
        <v>0</v>
      </c>
      <c r="AP75" s="11">
        <f>G75*(1-0)</f>
        <v>0</v>
      </c>
      <c r="AQ75" s="12" t="s">
        <v>81</v>
      </c>
      <c r="AV75" s="11">
        <f>ROUND(AW75+AX75,2)</f>
        <v>0</v>
      </c>
      <c r="AW75" s="11">
        <f>ROUND(F75*AO75,2)</f>
        <v>0</v>
      </c>
      <c r="AX75" s="11">
        <f>ROUND(F75*AP75,2)</f>
        <v>0</v>
      </c>
      <c r="AY75" s="12" t="s">
        <v>255</v>
      </c>
      <c r="AZ75" s="12" t="s">
        <v>183</v>
      </c>
      <c r="BA75" s="6" t="s">
        <v>63</v>
      </c>
      <c r="BC75" s="11">
        <f>AW75+AX75</f>
        <v>0</v>
      </c>
      <c r="BD75" s="11">
        <f>G75/(100-BE75)*100</f>
        <v>0</v>
      </c>
      <c r="BE75" s="11">
        <v>0</v>
      </c>
      <c r="BF75" s="11">
        <f>75</f>
        <v>75</v>
      </c>
      <c r="BH75" s="11">
        <f>F75*AO75</f>
        <v>0</v>
      </c>
      <c r="BI75" s="11">
        <f>F75*AP75</f>
        <v>0</v>
      </c>
      <c r="BJ75" s="11">
        <f>F75*G75</f>
        <v>0</v>
      </c>
      <c r="BK75" s="12" t="s">
        <v>64</v>
      </c>
      <c r="BL75" s="11">
        <v>732</v>
      </c>
      <c r="BW75" s="11">
        <v>21</v>
      </c>
      <c r="BX75" s="3" t="s">
        <v>253</v>
      </c>
    </row>
    <row r="76" spans="1:76" ht="24.75">
      <c r="A76" s="29" t="s">
        <v>256</v>
      </c>
      <c r="B76" s="2" t="s">
        <v>257</v>
      </c>
      <c r="C76" s="40" t="s">
        <v>258</v>
      </c>
      <c r="D76" s="38"/>
      <c r="E76" s="2" t="s">
        <v>259</v>
      </c>
      <c r="F76" s="11">
        <v>1</v>
      </c>
      <c r="G76" s="109">
        <v>0</v>
      </c>
      <c r="H76" s="11">
        <f>ROUND(F76*AO76,2)</f>
        <v>0</v>
      </c>
      <c r="I76" s="11">
        <f>ROUND(F76*AP76,2)</f>
        <v>0</v>
      </c>
      <c r="J76" s="11">
        <f>ROUND(F76*G76,2)</f>
        <v>0</v>
      </c>
      <c r="K76" s="108" t="s">
        <v>52</v>
      </c>
      <c r="Z76" s="11">
        <f>ROUND(IF(AQ76="5",BJ76,0),2)</f>
        <v>0</v>
      </c>
      <c r="AB76" s="11">
        <f>ROUND(IF(AQ76="1",BH76,0),2)</f>
        <v>0</v>
      </c>
      <c r="AC76" s="11">
        <f>ROUND(IF(AQ76="1",BI76,0),2)</f>
        <v>0</v>
      </c>
      <c r="AD76" s="11">
        <f>ROUND(IF(AQ76="7",BH76,0),2)</f>
        <v>0</v>
      </c>
      <c r="AE76" s="11">
        <f>ROUND(IF(AQ76="7",BI76,0),2)</f>
        <v>0</v>
      </c>
      <c r="AF76" s="11">
        <f>ROUND(IF(AQ76="2",BH76,0),2)</f>
        <v>0</v>
      </c>
      <c r="AG76" s="11">
        <f>ROUND(IF(AQ76="2",BI76,0),2)</f>
        <v>0</v>
      </c>
      <c r="AH76" s="11">
        <f>ROUND(IF(AQ76="0",BJ76,0),2)</f>
        <v>0</v>
      </c>
      <c r="AI76" s="6" t="s">
        <v>56</v>
      </c>
      <c r="AJ76" s="11">
        <f>IF(AN76=0,J76,0)</f>
        <v>0</v>
      </c>
      <c r="AK76" s="11">
        <f>IF(AN76=12,J76,0)</f>
        <v>0</v>
      </c>
      <c r="AL76" s="11">
        <f>IF(AN76=21,J76,0)</f>
        <v>0</v>
      </c>
      <c r="AN76" s="11">
        <v>21</v>
      </c>
      <c r="AO76" s="11">
        <f>G76*1</f>
        <v>0</v>
      </c>
      <c r="AP76" s="11">
        <f>G76*(1-1)</f>
        <v>0</v>
      </c>
      <c r="AQ76" s="12" t="s">
        <v>81</v>
      </c>
      <c r="AV76" s="11">
        <f>ROUND(AW76+AX76,2)</f>
        <v>0</v>
      </c>
      <c r="AW76" s="11">
        <f>ROUND(F76*AO76,2)</f>
        <v>0</v>
      </c>
      <c r="AX76" s="11">
        <f>ROUND(F76*AP76,2)</f>
        <v>0</v>
      </c>
      <c r="AY76" s="12" t="s">
        <v>255</v>
      </c>
      <c r="AZ76" s="12" t="s">
        <v>183</v>
      </c>
      <c r="BA76" s="6" t="s">
        <v>63</v>
      </c>
      <c r="BC76" s="11">
        <f>AW76+AX76</f>
        <v>0</v>
      </c>
      <c r="BD76" s="11">
        <f>G76/(100-BE76)*100</f>
        <v>0</v>
      </c>
      <c r="BE76" s="11">
        <v>0</v>
      </c>
      <c r="BF76" s="11">
        <f>76</f>
        <v>76</v>
      </c>
      <c r="BH76" s="11">
        <f>F76*AO76</f>
        <v>0</v>
      </c>
      <c r="BI76" s="11">
        <f>F76*AP76</f>
        <v>0</v>
      </c>
      <c r="BJ76" s="11">
        <f>F76*G76</f>
        <v>0</v>
      </c>
      <c r="BK76" s="12" t="s">
        <v>64</v>
      </c>
      <c r="BL76" s="11">
        <v>732</v>
      </c>
      <c r="BW76" s="11">
        <v>21</v>
      </c>
      <c r="BX76" s="3" t="s">
        <v>258</v>
      </c>
    </row>
    <row r="77" spans="1:76" ht="24.75">
      <c r="A77" s="29" t="s">
        <v>260</v>
      </c>
      <c r="B77" s="2" t="s">
        <v>261</v>
      </c>
      <c r="C77" s="40" t="s">
        <v>262</v>
      </c>
      <c r="D77" s="38"/>
      <c r="E77" s="2" t="s">
        <v>259</v>
      </c>
      <c r="F77" s="11">
        <v>1</v>
      </c>
      <c r="G77" s="109">
        <v>0</v>
      </c>
      <c r="H77" s="11">
        <f>ROUND(F77*AO77,2)</f>
        <v>0</v>
      </c>
      <c r="I77" s="11">
        <f>ROUND(F77*AP77,2)</f>
        <v>0</v>
      </c>
      <c r="J77" s="11">
        <f>ROUND(F77*G77,2)</f>
        <v>0</v>
      </c>
      <c r="K77" s="108" t="s">
        <v>52</v>
      </c>
      <c r="Z77" s="11">
        <f>ROUND(IF(AQ77="5",BJ77,0),2)</f>
        <v>0</v>
      </c>
      <c r="AB77" s="11">
        <f>ROUND(IF(AQ77="1",BH77,0),2)</f>
        <v>0</v>
      </c>
      <c r="AC77" s="11">
        <f>ROUND(IF(AQ77="1",BI77,0),2)</f>
        <v>0</v>
      </c>
      <c r="AD77" s="11">
        <f>ROUND(IF(AQ77="7",BH77,0),2)</f>
        <v>0</v>
      </c>
      <c r="AE77" s="11">
        <f>ROUND(IF(AQ77="7",BI77,0),2)</f>
        <v>0</v>
      </c>
      <c r="AF77" s="11">
        <f>ROUND(IF(AQ77="2",BH77,0),2)</f>
        <v>0</v>
      </c>
      <c r="AG77" s="11">
        <f>ROUND(IF(AQ77="2",BI77,0),2)</f>
        <v>0</v>
      </c>
      <c r="AH77" s="11">
        <f>ROUND(IF(AQ77="0",BJ77,0),2)</f>
        <v>0</v>
      </c>
      <c r="AI77" s="6" t="s">
        <v>56</v>
      </c>
      <c r="AJ77" s="11">
        <f>IF(AN77=0,J77,0)</f>
        <v>0</v>
      </c>
      <c r="AK77" s="11">
        <f>IF(AN77=12,J77,0)</f>
        <v>0</v>
      </c>
      <c r="AL77" s="11">
        <f>IF(AN77=21,J77,0)</f>
        <v>0</v>
      </c>
      <c r="AN77" s="11">
        <v>21</v>
      </c>
      <c r="AO77" s="11">
        <f>G77*1</f>
        <v>0</v>
      </c>
      <c r="AP77" s="11">
        <f>G77*(1-1)</f>
        <v>0</v>
      </c>
      <c r="AQ77" s="12" t="s">
        <v>81</v>
      </c>
      <c r="AV77" s="11">
        <f>ROUND(AW77+AX77,2)</f>
        <v>0</v>
      </c>
      <c r="AW77" s="11">
        <f>ROUND(F77*AO77,2)</f>
        <v>0</v>
      </c>
      <c r="AX77" s="11">
        <f>ROUND(F77*AP77,2)</f>
        <v>0</v>
      </c>
      <c r="AY77" s="12" t="s">
        <v>255</v>
      </c>
      <c r="AZ77" s="12" t="s">
        <v>183</v>
      </c>
      <c r="BA77" s="6" t="s">
        <v>63</v>
      </c>
      <c r="BC77" s="11">
        <f>AW77+AX77</f>
        <v>0</v>
      </c>
      <c r="BD77" s="11">
        <f>G77/(100-BE77)*100</f>
        <v>0</v>
      </c>
      <c r="BE77" s="11">
        <v>0</v>
      </c>
      <c r="BF77" s="11">
        <f>77</f>
        <v>77</v>
      </c>
      <c r="BH77" s="11">
        <f>F77*AO77</f>
        <v>0</v>
      </c>
      <c r="BI77" s="11">
        <f>F77*AP77</f>
        <v>0</v>
      </c>
      <c r="BJ77" s="11">
        <f>F77*G77</f>
        <v>0</v>
      </c>
      <c r="BK77" s="12" t="s">
        <v>64</v>
      </c>
      <c r="BL77" s="11">
        <v>732</v>
      </c>
      <c r="BW77" s="11">
        <v>21</v>
      </c>
      <c r="BX77" s="3" t="s">
        <v>262</v>
      </c>
    </row>
    <row r="78" spans="1:76" ht="24.75">
      <c r="A78" s="29" t="s">
        <v>263</v>
      </c>
      <c r="B78" s="2" t="s">
        <v>264</v>
      </c>
      <c r="C78" s="40" t="s">
        <v>265</v>
      </c>
      <c r="D78" s="38"/>
      <c r="E78" s="2" t="s">
        <v>259</v>
      </c>
      <c r="F78" s="11">
        <v>2</v>
      </c>
      <c r="G78" s="109">
        <v>0</v>
      </c>
      <c r="H78" s="11">
        <f>ROUND(F78*AO78,2)</f>
        <v>0</v>
      </c>
      <c r="I78" s="11">
        <f>ROUND(F78*AP78,2)</f>
        <v>0</v>
      </c>
      <c r="J78" s="11">
        <f>ROUND(F78*G78,2)</f>
        <v>0</v>
      </c>
      <c r="K78" s="108" t="s">
        <v>52</v>
      </c>
      <c r="Z78" s="11">
        <f>ROUND(IF(AQ78="5",BJ78,0),2)</f>
        <v>0</v>
      </c>
      <c r="AB78" s="11">
        <f>ROUND(IF(AQ78="1",BH78,0),2)</f>
        <v>0</v>
      </c>
      <c r="AC78" s="11">
        <f>ROUND(IF(AQ78="1",BI78,0),2)</f>
        <v>0</v>
      </c>
      <c r="AD78" s="11">
        <f>ROUND(IF(AQ78="7",BH78,0),2)</f>
        <v>0</v>
      </c>
      <c r="AE78" s="11">
        <f>ROUND(IF(AQ78="7",BI78,0),2)</f>
        <v>0</v>
      </c>
      <c r="AF78" s="11">
        <f>ROUND(IF(AQ78="2",BH78,0),2)</f>
        <v>0</v>
      </c>
      <c r="AG78" s="11">
        <f>ROUND(IF(AQ78="2",BI78,0),2)</f>
        <v>0</v>
      </c>
      <c r="AH78" s="11">
        <f>ROUND(IF(AQ78="0",BJ78,0),2)</f>
        <v>0</v>
      </c>
      <c r="AI78" s="6" t="s">
        <v>56</v>
      </c>
      <c r="AJ78" s="11">
        <f>IF(AN78=0,J78,0)</f>
        <v>0</v>
      </c>
      <c r="AK78" s="11">
        <f>IF(AN78=12,J78,0)</f>
        <v>0</v>
      </c>
      <c r="AL78" s="11">
        <f>IF(AN78=21,J78,0)</f>
        <v>0</v>
      </c>
      <c r="AN78" s="11">
        <v>21</v>
      </c>
      <c r="AO78" s="11">
        <f>G78*1</f>
        <v>0</v>
      </c>
      <c r="AP78" s="11">
        <f>G78*(1-1)</f>
        <v>0</v>
      </c>
      <c r="AQ78" s="12" t="s">
        <v>81</v>
      </c>
      <c r="AV78" s="11">
        <f>ROUND(AW78+AX78,2)</f>
        <v>0</v>
      </c>
      <c r="AW78" s="11">
        <f>ROUND(F78*AO78,2)</f>
        <v>0</v>
      </c>
      <c r="AX78" s="11">
        <f>ROUND(F78*AP78,2)</f>
        <v>0</v>
      </c>
      <c r="AY78" s="12" t="s">
        <v>255</v>
      </c>
      <c r="AZ78" s="12" t="s">
        <v>183</v>
      </c>
      <c r="BA78" s="6" t="s">
        <v>63</v>
      </c>
      <c r="BC78" s="11">
        <f>AW78+AX78</f>
        <v>0</v>
      </c>
      <c r="BD78" s="11">
        <f>G78/(100-BE78)*100</f>
        <v>0</v>
      </c>
      <c r="BE78" s="11">
        <v>0</v>
      </c>
      <c r="BF78" s="11">
        <f>78</f>
        <v>78</v>
      </c>
      <c r="BH78" s="11">
        <f>F78*AO78</f>
        <v>0</v>
      </c>
      <c r="BI78" s="11">
        <f>F78*AP78</f>
        <v>0</v>
      </c>
      <c r="BJ78" s="11">
        <f>F78*G78</f>
        <v>0</v>
      </c>
      <c r="BK78" s="12" t="s">
        <v>64</v>
      </c>
      <c r="BL78" s="11">
        <v>732</v>
      </c>
      <c r="BW78" s="11">
        <v>21</v>
      </c>
      <c r="BX78" s="3" t="s">
        <v>265</v>
      </c>
    </row>
    <row r="79" spans="1:76">
      <c r="A79" s="29" t="s">
        <v>266</v>
      </c>
      <c r="B79" s="2" t="s">
        <v>267</v>
      </c>
      <c r="C79" s="40" t="s">
        <v>268</v>
      </c>
      <c r="D79" s="38"/>
      <c r="E79" s="2" t="s">
        <v>60</v>
      </c>
      <c r="F79" s="11">
        <v>4</v>
      </c>
      <c r="G79" s="109">
        <v>0</v>
      </c>
      <c r="H79" s="11">
        <f>ROUND(F79*AO79,2)</f>
        <v>0</v>
      </c>
      <c r="I79" s="11">
        <f>ROUND(F79*AP79,2)</f>
        <v>0</v>
      </c>
      <c r="J79" s="11">
        <f>ROUND(F79*G79,2)</f>
        <v>0</v>
      </c>
      <c r="K79" s="108" t="s">
        <v>111</v>
      </c>
      <c r="Z79" s="11">
        <f>ROUND(IF(AQ79="5",BJ79,0),2)</f>
        <v>0</v>
      </c>
      <c r="AB79" s="11">
        <f>ROUND(IF(AQ79="1",BH79,0),2)</f>
        <v>0</v>
      </c>
      <c r="AC79" s="11">
        <f>ROUND(IF(AQ79="1",BI79,0),2)</f>
        <v>0</v>
      </c>
      <c r="AD79" s="11">
        <f>ROUND(IF(AQ79="7",BH79,0),2)</f>
        <v>0</v>
      </c>
      <c r="AE79" s="11">
        <f>ROUND(IF(AQ79="7",BI79,0),2)</f>
        <v>0</v>
      </c>
      <c r="AF79" s="11">
        <f>ROUND(IF(AQ79="2",BH79,0),2)</f>
        <v>0</v>
      </c>
      <c r="AG79" s="11">
        <f>ROUND(IF(AQ79="2",BI79,0),2)</f>
        <v>0</v>
      </c>
      <c r="AH79" s="11">
        <f>ROUND(IF(AQ79="0",BJ79,0),2)</f>
        <v>0</v>
      </c>
      <c r="AI79" s="6" t="s">
        <v>56</v>
      </c>
      <c r="AJ79" s="11">
        <f>IF(AN79=0,J79,0)</f>
        <v>0</v>
      </c>
      <c r="AK79" s="11">
        <f>IF(AN79=12,J79,0)</f>
        <v>0</v>
      </c>
      <c r="AL79" s="11">
        <f>IF(AN79=21,J79,0)</f>
        <v>0</v>
      </c>
      <c r="AN79" s="11">
        <v>21</v>
      </c>
      <c r="AO79" s="11">
        <f>G79*0.046413793</f>
        <v>0</v>
      </c>
      <c r="AP79" s="11">
        <f>G79*(1-0.046413793)</f>
        <v>0</v>
      </c>
      <c r="AQ79" s="12" t="s">
        <v>81</v>
      </c>
      <c r="AV79" s="11">
        <f>ROUND(AW79+AX79,2)</f>
        <v>0</v>
      </c>
      <c r="AW79" s="11">
        <f>ROUND(F79*AO79,2)</f>
        <v>0</v>
      </c>
      <c r="AX79" s="11">
        <f>ROUND(F79*AP79,2)</f>
        <v>0</v>
      </c>
      <c r="AY79" s="12" t="s">
        <v>255</v>
      </c>
      <c r="AZ79" s="12" t="s">
        <v>183</v>
      </c>
      <c r="BA79" s="6" t="s">
        <v>63</v>
      </c>
      <c r="BC79" s="11">
        <f>AW79+AX79</f>
        <v>0</v>
      </c>
      <c r="BD79" s="11">
        <f>G79/(100-BE79)*100</f>
        <v>0</v>
      </c>
      <c r="BE79" s="11">
        <v>0</v>
      </c>
      <c r="BF79" s="11">
        <f>79</f>
        <v>79</v>
      </c>
      <c r="BH79" s="11">
        <f>F79*AO79</f>
        <v>0</v>
      </c>
      <c r="BI79" s="11">
        <f>F79*AP79</f>
        <v>0</v>
      </c>
      <c r="BJ79" s="11">
        <f>F79*G79</f>
        <v>0</v>
      </c>
      <c r="BK79" s="12" t="s">
        <v>64</v>
      </c>
      <c r="BL79" s="11">
        <v>732</v>
      </c>
      <c r="BW79" s="11">
        <v>21</v>
      </c>
      <c r="BX79" s="3" t="s">
        <v>268</v>
      </c>
    </row>
    <row r="80" spans="1:76">
      <c r="A80" s="29" t="s">
        <v>269</v>
      </c>
      <c r="B80" s="2" t="s">
        <v>270</v>
      </c>
      <c r="C80" s="40" t="s">
        <v>271</v>
      </c>
      <c r="D80" s="38"/>
      <c r="E80" s="2" t="s">
        <v>254</v>
      </c>
      <c r="F80" s="11">
        <v>4</v>
      </c>
      <c r="G80" s="109">
        <v>0</v>
      </c>
      <c r="H80" s="11">
        <f>ROUND(F80*AO80,2)</f>
        <v>0</v>
      </c>
      <c r="I80" s="11">
        <f>ROUND(F80*AP80,2)</f>
        <v>0</v>
      </c>
      <c r="J80" s="11">
        <f>ROUND(F80*G80,2)</f>
        <v>0</v>
      </c>
      <c r="K80" s="108" t="s">
        <v>111</v>
      </c>
      <c r="Z80" s="11">
        <f>ROUND(IF(AQ80="5",BJ80,0),2)</f>
        <v>0</v>
      </c>
      <c r="AB80" s="11">
        <f>ROUND(IF(AQ80="1",BH80,0),2)</f>
        <v>0</v>
      </c>
      <c r="AC80" s="11">
        <f>ROUND(IF(AQ80="1",BI80,0),2)</f>
        <v>0</v>
      </c>
      <c r="AD80" s="11">
        <f>ROUND(IF(AQ80="7",BH80,0),2)</f>
        <v>0</v>
      </c>
      <c r="AE80" s="11">
        <f>ROUND(IF(AQ80="7",BI80,0),2)</f>
        <v>0</v>
      </c>
      <c r="AF80" s="11">
        <f>ROUND(IF(AQ80="2",BH80,0),2)</f>
        <v>0</v>
      </c>
      <c r="AG80" s="11">
        <f>ROUND(IF(AQ80="2",BI80,0),2)</f>
        <v>0</v>
      </c>
      <c r="AH80" s="11">
        <f>ROUND(IF(AQ80="0",BJ80,0),2)</f>
        <v>0</v>
      </c>
      <c r="AI80" s="6" t="s">
        <v>56</v>
      </c>
      <c r="AJ80" s="11">
        <f>IF(AN80=0,J80,0)</f>
        <v>0</v>
      </c>
      <c r="AK80" s="11">
        <f>IF(AN80=12,J80,0)</f>
        <v>0</v>
      </c>
      <c r="AL80" s="11">
        <f>IF(AN80=21,J80,0)</f>
        <v>0</v>
      </c>
      <c r="AN80" s="11">
        <v>21</v>
      </c>
      <c r="AO80" s="11">
        <f>G80*0.174488518</f>
        <v>0</v>
      </c>
      <c r="AP80" s="11">
        <f>G80*(1-0.174488518)</f>
        <v>0</v>
      </c>
      <c r="AQ80" s="12" t="s">
        <v>81</v>
      </c>
      <c r="AV80" s="11">
        <f>ROUND(AW80+AX80,2)</f>
        <v>0</v>
      </c>
      <c r="AW80" s="11">
        <f>ROUND(F80*AO80,2)</f>
        <v>0</v>
      </c>
      <c r="AX80" s="11">
        <f>ROUND(F80*AP80,2)</f>
        <v>0</v>
      </c>
      <c r="AY80" s="12" t="s">
        <v>255</v>
      </c>
      <c r="AZ80" s="12" t="s">
        <v>183</v>
      </c>
      <c r="BA80" s="6" t="s">
        <v>63</v>
      </c>
      <c r="BC80" s="11">
        <f>AW80+AX80</f>
        <v>0</v>
      </c>
      <c r="BD80" s="11">
        <f>G80/(100-BE80)*100</f>
        <v>0</v>
      </c>
      <c r="BE80" s="11">
        <v>0</v>
      </c>
      <c r="BF80" s="11">
        <f>80</f>
        <v>80</v>
      </c>
      <c r="BH80" s="11">
        <f>F80*AO80</f>
        <v>0</v>
      </c>
      <c r="BI80" s="11">
        <f>F80*AP80</f>
        <v>0</v>
      </c>
      <c r="BJ80" s="11">
        <f>F80*G80</f>
        <v>0</v>
      </c>
      <c r="BK80" s="12" t="s">
        <v>64</v>
      </c>
      <c r="BL80" s="11">
        <v>732</v>
      </c>
      <c r="BW80" s="11">
        <v>21</v>
      </c>
      <c r="BX80" s="3" t="s">
        <v>271</v>
      </c>
    </row>
    <row r="81" spans="1:76" ht="24.75">
      <c r="A81" s="29" t="s">
        <v>272</v>
      </c>
      <c r="B81" s="2" t="s">
        <v>273</v>
      </c>
      <c r="C81" s="40" t="s">
        <v>274</v>
      </c>
      <c r="D81" s="38"/>
      <c r="E81" s="2" t="s">
        <v>259</v>
      </c>
      <c r="F81" s="11">
        <v>1</v>
      </c>
      <c r="G81" s="109">
        <v>0</v>
      </c>
      <c r="H81" s="11">
        <f>ROUND(F81*AO81,2)</f>
        <v>0</v>
      </c>
      <c r="I81" s="11">
        <f>ROUND(F81*AP81,2)</f>
        <v>0</v>
      </c>
      <c r="J81" s="11">
        <f>ROUND(F81*G81,2)</f>
        <v>0</v>
      </c>
      <c r="K81" s="108" t="s">
        <v>52</v>
      </c>
      <c r="Z81" s="11">
        <f>ROUND(IF(AQ81="5",BJ81,0),2)</f>
        <v>0</v>
      </c>
      <c r="AB81" s="11">
        <f>ROUND(IF(AQ81="1",BH81,0),2)</f>
        <v>0</v>
      </c>
      <c r="AC81" s="11">
        <f>ROUND(IF(AQ81="1",BI81,0),2)</f>
        <v>0</v>
      </c>
      <c r="AD81" s="11">
        <f>ROUND(IF(AQ81="7",BH81,0),2)</f>
        <v>0</v>
      </c>
      <c r="AE81" s="11">
        <f>ROUND(IF(AQ81="7",BI81,0),2)</f>
        <v>0</v>
      </c>
      <c r="AF81" s="11">
        <f>ROUND(IF(AQ81="2",BH81,0),2)</f>
        <v>0</v>
      </c>
      <c r="AG81" s="11">
        <f>ROUND(IF(AQ81="2",BI81,0),2)</f>
        <v>0</v>
      </c>
      <c r="AH81" s="11">
        <f>ROUND(IF(AQ81="0",BJ81,0),2)</f>
        <v>0</v>
      </c>
      <c r="AI81" s="6" t="s">
        <v>56</v>
      </c>
      <c r="AJ81" s="11">
        <f>IF(AN81=0,J81,0)</f>
        <v>0</v>
      </c>
      <c r="AK81" s="11">
        <f>IF(AN81=12,J81,0)</f>
        <v>0</v>
      </c>
      <c r="AL81" s="11">
        <f>IF(AN81=21,J81,0)</f>
        <v>0</v>
      </c>
      <c r="AN81" s="11">
        <v>21</v>
      </c>
      <c r="AO81" s="11">
        <f>G81*1</f>
        <v>0</v>
      </c>
      <c r="AP81" s="11">
        <f>G81*(1-1)</f>
        <v>0</v>
      </c>
      <c r="AQ81" s="12" t="s">
        <v>81</v>
      </c>
      <c r="AV81" s="11">
        <f>ROUND(AW81+AX81,2)</f>
        <v>0</v>
      </c>
      <c r="AW81" s="11">
        <f>ROUND(F81*AO81,2)</f>
        <v>0</v>
      </c>
      <c r="AX81" s="11">
        <f>ROUND(F81*AP81,2)</f>
        <v>0</v>
      </c>
      <c r="AY81" s="12" t="s">
        <v>255</v>
      </c>
      <c r="AZ81" s="12" t="s">
        <v>183</v>
      </c>
      <c r="BA81" s="6" t="s">
        <v>63</v>
      </c>
      <c r="BC81" s="11">
        <f>AW81+AX81</f>
        <v>0</v>
      </c>
      <c r="BD81" s="11">
        <f>G81/(100-BE81)*100</f>
        <v>0</v>
      </c>
      <c r="BE81" s="11">
        <v>0</v>
      </c>
      <c r="BF81" s="11">
        <f>81</f>
        <v>81</v>
      </c>
      <c r="BH81" s="11">
        <f>F81*AO81</f>
        <v>0</v>
      </c>
      <c r="BI81" s="11">
        <f>F81*AP81</f>
        <v>0</v>
      </c>
      <c r="BJ81" s="11">
        <f>F81*G81</f>
        <v>0</v>
      </c>
      <c r="BK81" s="12" t="s">
        <v>64</v>
      </c>
      <c r="BL81" s="11">
        <v>732</v>
      </c>
      <c r="BW81" s="11">
        <v>21</v>
      </c>
      <c r="BX81" s="3" t="s">
        <v>274</v>
      </c>
    </row>
    <row r="82" spans="1:76">
      <c r="A82" s="29" t="s">
        <v>275</v>
      </c>
      <c r="B82" s="2" t="s">
        <v>267</v>
      </c>
      <c r="C82" s="40" t="s">
        <v>276</v>
      </c>
      <c r="D82" s="38"/>
      <c r="E82" s="2" t="s">
        <v>60</v>
      </c>
      <c r="F82" s="11">
        <v>1</v>
      </c>
      <c r="G82" s="109">
        <v>0</v>
      </c>
      <c r="H82" s="11">
        <f>ROUND(F82*AO82,2)</f>
        <v>0</v>
      </c>
      <c r="I82" s="11">
        <f>ROUND(F82*AP82,2)</f>
        <v>0</v>
      </c>
      <c r="J82" s="11">
        <f>ROUND(F82*G82,2)</f>
        <v>0</v>
      </c>
      <c r="K82" s="108" t="s">
        <v>111</v>
      </c>
      <c r="Z82" s="11">
        <f>ROUND(IF(AQ82="5",BJ82,0),2)</f>
        <v>0</v>
      </c>
      <c r="AB82" s="11">
        <f>ROUND(IF(AQ82="1",BH82,0),2)</f>
        <v>0</v>
      </c>
      <c r="AC82" s="11">
        <f>ROUND(IF(AQ82="1",BI82,0),2)</f>
        <v>0</v>
      </c>
      <c r="AD82" s="11">
        <f>ROUND(IF(AQ82="7",BH82,0),2)</f>
        <v>0</v>
      </c>
      <c r="AE82" s="11">
        <f>ROUND(IF(AQ82="7",BI82,0),2)</f>
        <v>0</v>
      </c>
      <c r="AF82" s="11">
        <f>ROUND(IF(AQ82="2",BH82,0),2)</f>
        <v>0</v>
      </c>
      <c r="AG82" s="11">
        <f>ROUND(IF(AQ82="2",BI82,0),2)</f>
        <v>0</v>
      </c>
      <c r="AH82" s="11">
        <f>ROUND(IF(AQ82="0",BJ82,0),2)</f>
        <v>0</v>
      </c>
      <c r="AI82" s="6" t="s">
        <v>56</v>
      </c>
      <c r="AJ82" s="11">
        <f>IF(AN82=0,J82,0)</f>
        <v>0</v>
      </c>
      <c r="AK82" s="11">
        <f>IF(AN82=12,J82,0)</f>
        <v>0</v>
      </c>
      <c r="AL82" s="11">
        <f>IF(AN82=21,J82,0)</f>
        <v>0</v>
      </c>
      <c r="AN82" s="11">
        <v>21</v>
      </c>
      <c r="AO82" s="11">
        <f>G82*0.046413793</f>
        <v>0</v>
      </c>
      <c r="AP82" s="11">
        <f>G82*(1-0.046413793)</f>
        <v>0</v>
      </c>
      <c r="AQ82" s="12" t="s">
        <v>81</v>
      </c>
      <c r="AV82" s="11">
        <f>ROUND(AW82+AX82,2)</f>
        <v>0</v>
      </c>
      <c r="AW82" s="11">
        <f>ROUND(F82*AO82,2)</f>
        <v>0</v>
      </c>
      <c r="AX82" s="11">
        <f>ROUND(F82*AP82,2)</f>
        <v>0</v>
      </c>
      <c r="AY82" s="12" t="s">
        <v>255</v>
      </c>
      <c r="AZ82" s="12" t="s">
        <v>183</v>
      </c>
      <c r="BA82" s="6" t="s">
        <v>63</v>
      </c>
      <c r="BC82" s="11">
        <f>AW82+AX82</f>
        <v>0</v>
      </c>
      <c r="BD82" s="11">
        <f>G82/(100-BE82)*100</f>
        <v>0</v>
      </c>
      <c r="BE82" s="11">
        <v>0</v>
      </c>
      <c r="BF82" s="11">
        <f>82</f>
        <v>82</v>
      </c>
      <c r="BH82" s="11">
        <f>F82*AO82</f>
        <v>0</v>
      </c>
      <c r="BI82" s="11">
        <f>F82*AP82</f>
        <v>0</v>
      </c>
      <c r="BJ82" s="11">
        <f>F82*G82</f>
        <v>0</v>
      </c>
      <c r="BK82" s="12" t="s">
        <v>64</v>
      </c>
      <c r="BL82" s="11">
        <v>732</v>
      </c>
      <c r="BW82" s="11">
        <v>21</v>
      </c>
      <c r="BX82" s="3" t="s">
        <v>276</v>
      </c>
    </row>
    <row r="83" spans="1:76">
      <c r="A83" s="29" t="s">
        <v>277</v>
      </c>
      <c r="B83" s="2" t="s">
        <v>278</v>
      </c>
      <c r="C83" s="40" t="s">
        <v>279</v>
      </c>
      <c r="D83" s="38"/>
      <c r="E83" s="2" t="s">
        <v>254</v>
      </c>
      <c r="F83" s="11">
        <v>1</v>
      </c>
      <c r="G83" s="109">
        <v>0</v>
      </c>
      <c r="H83" s="11">
        <f>ROUND(F83*AO83,2)</f>
        <v>0</v>
      </c>
      <c r="I83" s="11">
        <f>ROUND(F83*AP83,2)</f>
        <v>0</v>
      </c>
      <c r="J83" s="11">
        <f>ROUND(F83*G83,2)</f>
        <v>0</v>
      </c>
      <c r="K83" s="108" t="s">
        <v>111</v>
      </c>
      <c r="Z83" s="11">
        <f>ROUND(IF(AQ83="5",BJ83,0),2)</f>
        <v>0</v>
      </c>
      <c r="AB83" s="11">
        <f>ROUND(IF(AQ83="1",BH83,0),2)</f>
        <v>0</v>
      </c>
      <c r="AC83" s="11">
        <f>ROUND(IF(AQ83="1",BI83,0),2)</f>
        <v>0</v>
      </c>
      <c r="AD83" s="11">
        <f>ROUND(IF(AQ83="7",BH83,0),2)</f>
        <v>0</v>
      </c>
      <c r="AE83" s="11">
        <f>ROUND(IF(AQ83="7",BI83,0),2)</f>
        <v>0</v>
      </c>
      <c r="AF83" s="11">
        <f>ROUND(IF(AQ83="2",BH83,0),2)</f>
        <v>0</v>
      </c>
      <c r="AG83" s="11">
        <f>ROUND(IF(AQ83="2",BI83,0),2)</f>
        <v>0</v>
      </c>
      <c r="AH83" s="11">
        <f>ROUND(IF(AQ83="0",BJ83,0),2)</f>
        <v>0</v>
      </c>
      <c r="AI83" s="6" t="s">
        <v>56</v>
      </c>
      <c r="AJ83" s="11">
        <f>IF(AN83=0,J83,0)</f>
        <v>0</v>
      </c>
      <c r="AK83" s="11">
        <f>IF(AN83=12,J83,0)</f>
        <v>0</v>
      </c>
      <c r="AL83" s="11">
        <f>IF(AN83=21,J83,0)</f>
        <v>0</v>
      </c>
      <c r="AN83" s="11">
        <v>21</v>
      </c>
      <c r="AO83" s="11">
        <f>G83*0.277635659</f>
        <v>0</v>
      </c>
      <c r="AP83" s="11">
        <f>G83*(1-0.277635659)</f>
        <v>0</v>
      </c>
      <c r="AQ83" s="12" t="s">
        <v>81</v>
      </c>
      <c r="AV83" s="11">
        <f>ROUND(AW83+AX83,2)</f>
        <v>0</v>
      </c>
      <c r="AW83" s="11">
        <f>ROUND(F83*AO83,2)</f>
        <v>0</v>
      </c>
      <c r="AX83" s="11">
        <f>ROUND(F83*AP83,2)</f>
        <v>0</v>
      </c>
      <c r="AY83" s="12" t="s">
        <v>255</v>
      </c>
      <c r="AZ83" s="12" t="s">
        <v>183</v>
      </c>
      <c r="BA83" s="6" t="s">
        <v>63</v>
      </c>
      <c r="BC83" s="11">
        <f>AW83+AX83</f>
        <v>0</v>
      </c>
      <c r="BD83" s="11">
        <f>G83/(100-BE83)*100</f>
        <v>0</v>
      </c>
      <c r="BE83" s="11">
        <v>0</v>
      </c>
      <c r="BF83" s="11">
        <f>83</f>
        <v>83</v>
      </c>
      <c r="BH83" s="11">
        <f>F83*AO83</f>
        <v>0</v>
      </c>
      <c r="BI83" s="11">
        <f>F83*AP83</f>
        <v>0</v>
      </c>
      <c r="BJ83" s="11">
        <f>F83*G83</f>
        <v>0</v>
      </c>
      <c r="BK83" s="12" t="s">
        <v>64</v>
      </c>
      <c r="BL83" s="11">
        <v>732</v>
      </c>
      <c r="BW83" s="11">
        <v>21</v>
      </c>
      <c r="BX83" s="3" t="s">
        <v>279</v>
      </c>
    </row>
    <row r="84" spans="1:76" ht="24.75">
      <c r="A84" s="29" t="s">
        <v>280</v>
      </c>
      <c r="B84" s="2" t="s">
        <v>281</v>
      </c>
      <c r="C84" s="40" t="s">
        <v>282</v>
      </c>
      <c r="D84" s="38"/>
      <c r="E84" s="2" t="s">
        <v>259</v>
      </c>
      <c r="F84" s="11">
        <v>1</v>
      </c>
      <c r="G84" s="109">
        <v>0</v>
      </c>
      <c r="H84" s="11">
        <f>ROUND(F84*AO84,2)</f>
        <v>0</v>
      </c>
      <c r="I84" s="11">
        <f>ROUND(F84*AP84,2)</f>
        <v>0</v>
      </c>
      <c r="J84" s="11">
        <f>ROUND(F84*G84,2)</f>
        <v>0</v>
      </c>
      <c r="K84" s="108" t="s">
        <v>52</v>
      </c>
      <c r="Z84" s="11">
        <f>ROUND(IF(AQ84="5",BJ84,0),2)</f>
        <v>0</v>
      </c>
      <c r="AB84" s="11">
        <f>ROUND(IF(AQ84="1",BH84,0),2)</f>
        <v>0</v>
      </c>
      <c r="AC84" s="11">
        <f>ROUND(IF(AQ84="1",BI84,0),2)</f>
        <v>0</v>
      </c>
      <c r="AD84" s="11">
        <f>ROUND(IF(AQ84="7",BH84,0),2)</f>
        <v>0</v>
      </c>
      <c r="AE84" s="11">
        <f>ROUND(IF(AQ84="7",BI84,0),2)</f>
        <v>0</v>
      </c>
      <c r="AF84" s="11">
        <f>ROUND(IF(AQ84="2",BH84,0),2)</f>
        <v>0</v>
      </c>
      <c r="AG84" s="11">
        <f>ROUND(IF(AQ84="2",BI84,0),2)</f>
        <v>0</v>
      </c>
      <c r="AH84" s="11">
        <f>ROUND(IF(AQ84="0",BJ84,0),2)</f>
        <v>0</v>
      </c>
      <c r="AI84" s="6" t="s">
        <v>56</v>
      </c>
      <c r="AJ84" s="11">
        <f>IF(AN84=0,J84,0)</f>
        <v>0</v>
      </c>
      <c r="AK84" s="11">
        <f>IF(AN84=12,J84,0)</f>
        <v>0</v>
      </c>
      <c r="AL84" s="11">
        <f>IF(AN84=21,J84,0)</f>
        <v>0</v>
      </c>
      <c r="AN84" s="11">
        <v>21</v>
      </c>
      <c r="AO84" s="11">
        <f>G84*1</f>
        <v>0</v>
      </c>
      <c r="AP84" s="11">
        <f>G84*(1-1)</f>
        <v>0</v>
      </c>
      <c r="AQ84" s="12" t="s">
        <v>81</v>
      </c>
      <c r="AV84" s="11">
        <f>ROUND(AW84+AX84,2)</f>
        <v>0</v>
      </c>
      <c r="AW84" s="11">
        <f>ROUND(F84*AO84,2)</f>
        <v>0</v>
      </c>
      <c r="AX84" s="11">
        <f>ROUND(F84*AP84,2)</f>
        <v>0</v>
      </c>
      <c r="AY84" s="12" t="s">
        <v>255</v>
      </c>
      <c r="AZ84" s="12" t="s">
        <v>183</v>
      </c>
      <c r="BA84" s="6" t="s">
        <v>63</v>
      </c>
      <c r="BC84" s="11">
        <f>AW84+AX84</f>
        <v>0</v>
      </c>
      <c r="BD84" s="11">
        <f>G84/(100-BE84)*100</f>
        <v>0</v>
      </c>
      <c r="BE84" s="11">
        <v>0</v>
      </c>
      <c r="BF84" s="11">
        <f>84</f>
        <v>84</v>
      </c>
      <c r="BH84" s="11">
        <f>F84*AO84</f>
        <v>0</v>
      </c>
      <c r="BI84" s="11">
        <f>F84*AP84</f>
        <v>0</v>
      </c>
      <c r="BJ84" s="11">
        <f>F84*G84</f>
        <v>0</v>
      </c>
      <c r="BK84" s="12" t="s">
        <v>64</v>
      </c>
      <c r="BL84" s="11">
        <v>732</v>
      </c>
      <c r="BW84" s="11">
        <v>21</v>
      </c>
      <c r="BX84" s="3" t="s">
        <v>282</v>
      </c>
    </row>
    <row r="85" spans="1:76">
      <c r="A85" s="29" t="s">
        <v>283</v>
      </c>
      <c r="B85" s="2" t="s">
        <v>284</v>
      </c>
      <c r="C85" s="40" t="s">
        <v>285</v>
      </c>
      <c r="D85" s="38"/>
      <c r="E85" s="2" t="s">
        <v>254</v>
      </c>
      <c r="F85" s="11">
        <v>1</v>
      </c>
      <c r="G85" s="109">
        <v>0</v>
      </c>
      <c r="H85" s="11">
        <f>ROUND(F85*AO85,2)</f>
        <v>0</v>
      </c>
      <c r="I85" s="11">
        <f>ROUND(F85*AP85,2)</f>
        <v>0</v>
      </c>
      <c r="J85" s="11">
        <f>ROUND(F85*G85,2)</f>
        <v>0</v>
      </c>
      <c r="K85" s="108" t="s">
        <v>111</v>
      </c>
      <c r="Z85" s="11">
        <f>ROUND(IF(AQ85="5",BJ85,0),2)</f>
        <v>0</v>
      </c>
      <c r="AB85" s="11">
        <f>ROUND(IF(AQ85="1",BH85,0),2)</f>
        <v>0</v>
      </c>
      <c r="AC85" s="11">
        <f>ROUND(IF(AQ85="1",BI85,0),2)</f>
        <v>0</v>
      </c>
      <c r="AD85" s="11">
        <f>ROUND(IF(AQ85="7",BH85,0),2)</f>
        <v>0</v>
      </c>
      <c r="AE85" s="11">
        <f>ROUND(IF(AQ85="7",BI85,0),2)</f>
        <v>0</v>
      </c>
      <c r="AF85" s="11">
        <f>ROUND(IF(AQ85="2",BH85,0),2)</f>
        <v>0</v>
      </c>
      <c r="AG85" s="11">
        <f>ROUND(IF(AQ85="2",BI85,0),2)</f>
        <v>0</v>
      </c>
      <c r="AH85" s="11">
        <f>ROUND(IF(AQ85="0",BJ85,0),2)</f>
        <v>0</v>
      </c>
      <c r="AI85" s="6" t="s">
        <v>56</v>
      </c>
      <c r="AJ85" s="11">
        <f>IF(AN85=0,J85,0)</f>
        <v>0</v>
      </c>
      <c r="AK85" s="11">
        <f>IF(AN85=12,J85,0)</f>
        <v>0</v>
      </c>
      <c r="AL85" s="11">
        <f>IF(AN85=21,J85,0)</f>
        <v>0</v>
      </c>
      <c r="AN85" s="11">
        <v>21</v>
      </c>
      <c r="AO85" s="11">
        <f>G85*0.158612182</f>
        <v>0</v>
      </c>
      <c r="AP85" s="11">
        <f>G85*(1-0.158612182)</f>
        <v>0</v>
      </c>
      <c r="AQ85" s="12" t="s">
        <v>81</v>
      </c>
      <c r="AV85" s="11">
        <f>ROUND(AW85+AX85,2)</f>
        <v>0</v>
      </c>
      <c r="AW85" s="11">
        <f>ROUND(F85*AO85,2)</f>
        <v>0</v>
      </c>
      <c r="AX85" s="11">
        <f>ROUND(F85*AP85,2)</f>
        <v>0</v>
      </c>
      <c r="AY85" s="12" t="s">
        <v>255</v>
      </c>
      <c r="AZ85" s="12" t="s">
        <v>183</v>
      </c>
      <c r="BA85" s="6" t="s">
        <v>63</v>
      </c>
      <c r="BC85" s="11">
        <f>AW85+AX85</f>
        <v>0</v>
      </c>
      <c r="BD85" s="11">
        <f>G85/(100-BE85)*100</f>
        <v>0</v>
      </c>
      <c r="BE85" s="11">
        <v>0</v>
      </c>
      <c r="BF85" s="11">
        <f>85</f>
        <v>85</v>
      </c>
      <c r="BH85" s="11">
        <f>F85*AO85</f>
        <v>0</v>
      </c>
      <c r="BI85" s="11">
        <f>F85*AP85</f>
        <v>0</v>
      </c>
      <c r="BJ85" s="11">
        <f>F85*G85</f>
        <v>0</v>
      </c>
      <c r="BK85" s="12" t="s">
        <v>64</v>
      </c>
      <c r="BL85" s="11">
        <v>732</v>
      </c>
      <c r="BW85" s="11">
        <v>21</v>
      </c>
      <c r="BX85" s="3" t="s">
        <v>285</v>
      </c>
    </row>
    <row r="86" spans="1:76">
      <c r="A86" s="29" t="s">
        <v>286</v>
      </c>
      <c r="B86" s="2" t="s">
        <v>287</v>
      </c>
      <c r="C86" s="40" t="s">
        <v>288</v>
      </c>
      <c r="D86" s="38"/>
      <c r="E86" s="2" t="s">
        <v>254</v>
      </c>
      <c r="F86" s="11">
        <v>1</v>
      </c>
      <c r="G86" s="109">
        <v>0</v>
      </c>
      <c r="H86" s="11">
        <f>ROUND(F86*AO86,2)</f>
        <v>0</v>
      </c>
      <c r="I86" s="11">
        <f>ROUND(F86*AP86,2)</f>
        <v>0</v>
      </c>
      <c r="J86" s="11">
        <f>ROUND(F86*G86,2)</f>
        <v>0</v>
      </c>
      <c r="K86" s="108" t="s">
        <v>111</v>
      </c>
      <c r="Z86" s="11">
        <f>ROUND(IF(AQ86="5",BJ86,0),2)</f>
        <v>0</v>
      </c>
      <c r="AB86" s="11">
        <f>ROUND(IF(AQ86="1",BH86,0),2)</f>
        <v>0</v>
      </c>
      <c r="AC86" s="11">
        <f>ROUND(IF(AQ86="1",BI86,0),2)</f>
        <v>0</v>
      </c>
      <c r="AD86" s="11">
        <f>ROUND(IF(AQ86="7",BH86,0),2)</f>
        <v>0</v>
      </c>
      <c r="AE86" s="11">
        <f>ROUND(IF(AQ86="7",BI86,0),2)</f>
        <v>0</v>
      </c>
      <c r="AF86" s="11">
        <f>ROUND(IF(AQ86="2",BH86,0),2)</f>
        <v>0</v>
      </c>
      <c r="AG86" s="11">
        <f>ROUND(IF(AQ86="2",BI86,0),2)</f>
        <v>0</v>
      </c>
      <c r="AH86" s="11">
        <f>ROUND(IF(AQ86="0",BJ86,0),2)</f>
        <v>0</v>
      </c>
      <c r="AI86" s="6" t="s">
        <v>56</v>
      </c>
      <c r="AJ86" s="11">
        <f>IF(AN86=0,J86,0)</f>
        <v>0</v>
      </c>
      <c r="AK86" s="11">
        <f>IF(AN86=12,J86,0)</f>
        <v>0</v>
      </c>
      <c r="AL86" s="11">
        <f>IF(AN86=21,J86,0)</f>
        <v>0</v>
      </c>
      <c r="AN86" s="11">
        <v>21</v>
      </c>
      <c r="AO86" s="11">
        <f>G86*0</f>
        <v>0</v>
      </c>
      <c r="AP86" s="11">
        <f>G86*(1-0)</f>
        <v>0</v>
      </c>
      <c r="AQ86" s="12" t="s">
        <v>81</v>
      </c>
      <c r="AV86" s="11">
        <f>ROUND(AW86+AX86,2)</f>
        <v>0</v>
      </c>
      <c r="AW86" s="11">
        <f>ROUND(F86*AO86,2)</f>
        <v>0</v>
      </c>
      <c r="AX86" s="11">
        <f>ROUND(F86*AP86,2)</f>
        <v>0</v>
      </c>
      <c r="AY86" s="12" t="s">
        <v>255</v>
      </c>
      <c r="AZ86" s="12" t="s">
        <v>183</v>
      </c>
      <c r="BA86" s="6" t="s">
        <v>63</v>
      </c>
      <c r="BC86" s="11">
        <f>AW86+AX86</f>
        <v>0</v>
      </c>
      <c r="BD86" s="11">
        <f>G86/(100-BE86)*100</f>
        <v>0</v>
      </c>
      <c r="BE86" s="11">
        <v>0</v>
      </c>
      <c r="BF86" s="11">
        <f>86</f>
        <v>86</v>
      </c>
      <c r="BH86" s="11">
        <f>F86*AO86</f>
        <v>0</v>
      </c>
      <c r="BI86" s="11">
        <f>F86*AP86</f>
        <v>0</v>
      </c>
      <c r="BJ86" s="11">
        <f>F86*G86</f>
        <v>0</v>
      </c>
      <c r="BK86" s="12" t="s">
        <v>64</v>
      </c>
      <c r="BL86" s="11">
        <v>732</v>
      </c>
      <c r="BW86" s="11">
        <v>21</v>
      </c>
      <c r="BX86" s="3" t="s">
        <v>288</v>
      </c>
    </row>
    <row r="87" spans="1:76">
      <c r="A87" s="29" t="s">
        <v>289</v>
      </c>
      <c r="B87" s="2" t="s">
        <v>290</v>
      </c>
      <c r="C87" s="40" t="s">
        <v>291</v>
      </c>
      <c r="D87" s="38"/>
      <c r="E87" s="2" t="s">
        <v>60</v>
      </c>
      <c r="F87" s="11">
        <v>1</v>
      </c>
      <c r="G87" s="109">
        <v>0</v>
      </c>
      <c r="H87" s="11">
        <f>ROUND(F87*AO87,2)</f>
        <v>0</v>
      </c>
      <c r="I87" s="11">
        <f>ROUND(F87*AP87,2)</f>
        <v>0</v>
      </c>
      <c r="J87" s="11">
        <f>ROUND(F87*G87,2)</f>
        <v>0</v>
      </c>
      <c r="K87" s="108" t="s">
        <v>111</v>
      </c>
      <c r="Z87" s="11">
        <f>ROUND(IF(AQ87="5",BJ87,0),2)</f>
        <v>0</v>
      </c>
      <c r="AB87" s="11">
        <f>ROUND(IF(AQ87="1",BH87,0),2)</f>
        <v>0</v>
      </c>
      <c r="AC87" s="11">
        <f>ROUND(IF(AQ87="1",BI87,0),2)</f>
        <v>0</v>
      </c>
      <c r="AD87" s="11">
        <f>ROUND(IF(AQ87="7",BH87,0),2)</f>
        <v>0</v>
      </c>
      <c r="AE87" s="11">
        <f>ROUND(IF(AQ87="7",BI87,0),2)</f>
        <v>0</v>
      </c>
      <c r="AF87" s="11">
        <f>ROUND(IF(AQ87="2",BH87,0),2)</f>
        <v>0</v>
      </c>
      <c r="AG87" s="11">
        <f>ROUND(IF(AQ87="2",BI87,0),2)</f>
        <v>0</v>
      </c>
      <c r="AH87" s="11">
        <f>ROUND(IF(AQ87="0",BJ87,0),2)</f>
        <v>0</v>
      </c>
      <c r="AI87" s="6" t="s">
        <v>56</v>
      </c>
      <c r="AJ87" s="11">
        <f>IF(AN87=0,J87,0)</f>
        <v>0</v>
      </c>
      <c r="AK87" s="11">
        <f>IF(AN87=12,J87,0)</f>
        <v>0</v>
      </c>
      <c r="AL87" s="11">
        <f>IF(AN87=21,J87,0)</f>
        <v>0</v>
      </c>
      <c r="AN87" s="11">
        <v>21</v>
      </c>
      <c r="AO87" s="11">
        <f>G87*0</f>
        <v>0</v>
      </c>
      <c r="AP87" s="11">
        <f>G87*(1-0)</f>
        <v>0</v>
      </c>
      <c r="AQ87" s="12" t="s">
        <v>81</v>
      </c>
      <c r="AV87" s="11">
        <f>ROUND(AW87+AX87,2)</f>
        <v>0</v>
      </c>
      <c r="AW87" s="11">
        <f>ROUND(F87*AO87,2)</f>
        <v>0</v>
      </c>
      <c r="AX87" s="11">
        <f>ROUND(F87*AP87,2)</f>
        <v>0</v>
      </c>
      <c r="AY87" s="12" t="s">
        <v>255</v>
      </c>
      <c r="AZ87" s="12" t="s">
        <v>183</v>
      </c>
      <c r="BA87" s="6" t="s">
        <v>63</v>
      </c>
      <c r="BC87" s="11">
        <f>AW87+AX87</f>
        <v>0</v>
      </c>
      <c r="BD87" s="11">
        <f>G87/(100-BE87)*100</f>
        <v>0</v>
      </c>
      <c r="BE87" s="11">
        <v>0</v>
      </c>
      <c r="BF87" s="11">
        <f>87</f>
        <v>87</v>
      </c>
      <c r="BH87" s="11">
        <f>F87*AO87</f>
        <v>0</v>
      </c>
      <c r="BI87" s="11">
        <f>F87*AP87</f>
        <v>0</v>
      </c>
      <c r="BJ87" s="11">
        <f>F87*G87</f>
        <v>0</v>
      </c>
      <c r="BK87" s="12" t="s">
        <v>64</v>
      </c>
      <c r="BL87" s="11">
        <v>732</v>
      </c>
      <c r="BW87" s="11">
        <v>21</v>
      </c>
      <c r="BX87" s="3" t="s">
        <v>291</v>
      </c>
    </row>
    <row r="88" spans="1:76">
      <c r="A88" s="29" t="s">
        <v>292</v>
      </c>
      <c r="B88" s="2" t="s">
        <v>293</v>
      </c>
      <c r="C88" s="40" t="s">
        <v>294</v>
      </c>
      <c r="D88" s="38"/>
      <c r="E88" s="2" t="s">
        <v>60</v>
      </c>
      <c r="F88" s="11">
        <v>1</v>
      </c>
      <c r="G88" s="109">
        <v>0</v>
      </c>
      <c r="H88" s="11">
        <f>ROUND(F88*AO88,2)</f>
        <v>0</v>
      </c>
      <c r="I88" s="11">
        <f>ROUND(F88*AP88,2)</f>
        <v>0</v>
      </c>
      <c r="J88" s="11">
        <f>ROUND(F88*G88,2)</f>
        <v>0</v>
      </c>
      <c r="K88" s="108" t="s">
        <v>111</v>
      </c>
      <c r="Z88" s="11">
        <f>ROUND(IF(AQ88="5",BJ88,0),2)</f>
        <v>0</v>
      </c>
      <c r="AB88" s="11">
        <f>ROUND(IF(AQ88="1",BH88,0),2)</f>
        <v>0</v>
      </c>
      <c r="AC88" s="11">
        <f>ROUND(IF(AQ88="1",BI88,0),2)</f>
        <v>0</v>
      </c>
      <c r="AD88" s="11">
        <f>ROUND(IF(AQ88="7",BH88,0),2)</f>
        <v>0</v>
      </c>
      <c r="AE88" s="11">
        <f>ROUND(IF(AQ88="7",BI88,0),2)</f>
        <v>0</v>
      </c>
      <c r="AF88" s="11">
        <f>ROUND(IF(AQ88="2",BH88,0),2)</f>
        <v>0</v>
      </c>
      <c r="AG88" s="11">
        <f>ROUND(IF(AQ88="2",BI88,0),2)</f>
        <v>0</v>
      </c>
      <c r="AH88" s="11">
        <f>ROUND(IF(AQ88="0",BJ88,0),2)</f>
        <v>0</v>
      </c>
      <c r="AI88" s="6" t="s">
        <v>56</v>
      </c>
      <c r="AJ88" s="11">
        <f>IF(AN88=0,J88,0)</f>
        <v>0</v>
      </c>
      <c r="AK88" s="11">
        <f>IF(AN88=12,J88,0)</f>
        <v>0</v>
      </c>
      <c r="AL88" s="11">
        <f>IF(AN88=21,J88,0)</f>
        <v>0</v>
      </c>
      <c r="AN88" s="11">
        <v>21</v>
      </c>
      <c r="AO88" s="11">
        <f>G88*0</f>
        <v>0</v>
      </c>
      <c r="AP88" s="11">
        <f>G88*(1-0)</f>
        <v>0</v>
      </c>
      <c r="AQ88" s="12" t="s">
        <v>81</v>
      </c>
      <c r="AV88" s="11">
        <f>ROUND(AW88+AX88,2)</f>
        <v>0</v>
      </c>
      <c r="AW88" s="11">
        <f>ROUND(F88*AO88,2)</f>
        <v>0</v>
      </c>
      <c r="AX88" s="11">
        <f>ROUND(F88*AP88,2)</f>
        <v>0</v>
      </c>
      <c r="AY88" s="12" t="s">
        <v>255</v>
      </c>
      <c r="AZ88" s="12" t="s">
        <v>183</v>
      </c>
      <c r="BA88" s="6" t="s">
        <v>63</v>
      </c>
      <c r="BC88" s="11">
        <f>AW88+AX88</f>
        <v>0</v>
      </c>
      <c r="BD88" s="11">
        <f>G88/(100-BE88)*100</f>
        <v>0</v>
      </c>
      <c r="BE88" s="11">
        <v>0</v>
      </c>
      <c r="BF88" s="11">
        <f>88</f>
        <v>88</v>
      </c>
      <c r="BH88" s="11">
        <f>F88*AO88</f>
        <v>0</v>
      </c>
      <c r="BI88" s="11">
        <f>F88*AP88</f>
        <v>0</v>
      </c>
      <c r="BJ88" s="11">
        <f>F88*G88</f>
        <v>0</v>
      </c>
      <c r="BK88" s="12" t="s">
        <v>64</v>
      </c>
      <c r="BL88" s="11">
        <v>732</v>
      </c>
      <c r="BW88" s="11">
        <v>21</v>
      </c>
      <c r="BX88" s="3" t="s">
        <v>294</v>
      </c>
    </row>
    <row r="89" spans="1:76">
      <c r="A89" s="29" t="s">
        <v>295</v>
      </c>
      <c r="B89" s="2" t="s">
        <v>296</v>
      </c>
      <c r="C89" s="40" t="s">
        <v>297</v>
      </c>
      <c r="D89" s="38"/>
      <c r="E89" s="2" t="s">
        <v>254</v>
      </c>
      <c r="F89" s="11">
        <v>6</v>
      </c>
      <c r="G89" s="109">
        <v>0</v>
      </c>
      <c r="H89" s="11">
        <f>ROUND(F89*AO89,2)</f>
        <v>0</v>
      </c>
      <c r="I89" s="11">
        <f>ROUND(F89*AP89,2)</f>
        <v>0</v>
      </c>
      <c r="J89" s="11">
        <f>ROUND(F89*G89,2)</f>
        <v>0</v>
      </c>
      <c r="K89" s="108" t="s">
        <v>111</v>
      </c>
      <c r="Z89" s="11">
        <f>ROUND(IF(AQ89="5",BJ89,0),2)</f>
        <v>0</v>
      </c>
      <c r="AB89" s="11">
        <f>ROUND(IF(AQ89="1",BH89,0),2)</f>
        <v>0</v>
      </c>
      <c r="AC89" s="11">
        <f>ROUND(IF(AQ89="1",BI89,0),2)</f>
        <v>0</v>
      </c>
      <c r="AD89" s="11">
        <f>ROUND(IF(AQ89="7",BH89,0),2)</f>
        <v>0</v>
      </c>
      <c r="AE89" s="11">
        <f>ROUND(IF(AQ89="7",BI89,0),2)</f>
        <v>0</v>
      </c>
      <c r="AF89" s="11">
        <f>ROUND(IF(AQ89="2",BH89,0),2)</f>
        <v>0</v>
      </c>
      <c r="AG89" s="11">
        <f>ROUND(IF(AQ89="2",BI89,0),2)</f>
        <v>0</v>
      </c>
      <c r="AH89" s="11">
        <f>ROUND(IF(AQ89="0",BJ89,0),2)</f>
        <v>0</v>
      </c>
      <c r="AI89" s="6" t="s">
        <v>56</v>
      </c>
      <c r="AJ89" s="11">
        <f>IF(AN89=0,J89,0)</f>
        <v>0</v>
      </c>
      <c r="AK89" s="11">
        <f>IF(AN89=12,J89,0)</f>
        <v>0</v>
      </c>
      <c r="AL89" s="11">
        <f>IF(AN89=21,J89,0)</f>
        <v>0</v>
      </c>
      <c r="AN89" s="11">
        <v>21</v>
      </c>
      <c r="AO89" s="11">
        <f>G89*0.750563219</f>
        <v>0</v>
      </c>
      <c r="AP89" s="11">
        <f>G89*(1-0.750563219)</f>
        <v>0</v>
      </c>
      <c r="AQ89" s="12" t="s">
        <v>81</v>
      </c>
      <c r="AV89" s="11">
        <f>ROUND(AW89+AX89,2)</f>
        <v>0</v>
      </c>
      <c r="AW89" s="11">
        <f>ROUND(F89*AO89,2)</f>
        <v>0</v>
      </c>
      <c r="AX89" s="11">
        <f>ROUND(F89*AP89,2)</f>
        <v>0</v>
      </c>
      <c r="AY89" s="12" t="s">
        <v>255</v>
      </c>
      <c r="AZ89" s="12" t="s">
        <v>183</v>
      </c>
      <c r="BA89" s="6" t="s">
        <v>63</v>
      </c>
      <c r="BC89" s="11">
        <f>AW89+AX89</f>
        <v>0</v>
      </c>
      <c r="BD89" s="11">
        <f>G89/(100-BE89)*100</f>
        <v>0</v>
      </c>
      <c r="BE89" s="11">
        <v>0</v>
      </c>
      <c r="BF89" s="11">
        <f>89</f>
        <v>89</v>
      </c>
      <c r="BH89" s="11">
        <f>F89*AO89</f>
        <v>0</v>
      </c>
      <c r="BI89" s="11">
        <f>F89*AP89</f>
        <v>0</v>
      </c>
      <c r="BJ89" s="11">
        <f>F89*G89</f>
        <v>0</v>
      </c>
      <c r="BK89" s="12" t="s">
        <v>64</v>
      </c>
      <c r="BL89" s="11">
        <v>732</v>
      </c>
      <c r="BW89" s="11">
        <v>21</v>
      </c>
      <c r="BX89" s="3" t="s">
        <v>297</v>
      </c>
    </row>
    <row r="90" spans="1:76" ht="24.75">
      <c r="A90" s="29" t="s">
        <v>298</v>
      </c>
      <c r="B90" s="2" t="s">
        <v>299</v>
      </c>
      <c r="C90" s="40" t="s">
        <v>300</v>
      </c>
      <c r="D90" s="38"/>
      <c r="E90" s="2" t="s">
        <v>259</v>
      </c>
      <c r="F90" s="11">
        <v>1</v>
      </c>
      <c r="G90" s="109">
        <v>0</v>
      </c>
      <c r="H90" s="11">
        <f>ROUND(F90*AO90,2)</f>
        <v>0</v>
      </c>
      <c r="I90" s="11">
        <f>ROUND(F90*AP90,2)</f>
        <v>0</v>
      </c>
      <c r="J90" s="11">
        <f>ROUND(F90*G90,2)</f>
        <v>0</v>
      </c>
      <c r="K90" s="108" t="s">
        <v>52</v>
      </c>
      <c r="Z90" s="11">
        <f>ROUND(IF(AQ90="5",BJ90,0),2)</f>
        <v>0</v>
      </c>
      <c r="AB90" s="11">
        <f>ROUND(IF(AQ90="1",BH90,0),2)</f>
        <v>0</v>
      </c>
      <c r="AC90" s="11">
        <f>ROUND(IF(AQ90="1",BI90,0),2)</f>
        <v>0</v>
      </c>
      <c r="AD90" s="11">
        <f>ROUND(IF(AQ90="7",BH90,0),2)</f>
        <v>0</v>
      </c>
      <c r="AE90" s="11">
        <f>ROUND(IF(AQ90="7",BI90,0),2)</f>
        <v>0</v>
      </c>
      <c r="AF90" s="11">
        <f>ROUND(IF(AQ90="2",BH90,0),2)</f>
        <v>0</v>
      </c>
      <c r="AG90" s="11">
        <f>ROUND(IF(AQ90="2",BI90,0),2)</f>
        <v>0</v>
      </c>
      <c r="AH90" s="11">
        <f>ROUND(IF(AQ90="0",BJ90,0),2)</f>
        <v>0</v>
      </c>
      <c r="AI90" s="6" t="s">
        <v>56</v>
      </c>
      <c r="AJ90" s="11">
        <f>IF(AN90=0,J90,0)</f>
        <v>0</v>
      </c>
      <c r="AK90" s="11">
        <f>IF(AN90=12,J90,0)</f>
        <v>0</v>
      </c>
      <c r="AL90" s="11">
        <f>IF(AN90=21,J90,0)</f>
        <v>0</v>
      </c>
      <c r="AN90" s="11">
        <v>21</v>
      </c>
      <c r="AO90" s="11">
        <f>G90*1</f>
        <v>0</v>
      </c>
      <c r="AP90" s="11">
        <f>G90*(1-1)</f>
        <v>0</v>
      </c>
      <c r="AQ90" s="12" t="s">
        <v>81</v>
      </c>
      <c r="AV90" s="11">
        <f>ROUND(AW90+AX90,2)</f>
        <v>0</v>
      </c>
      <c r="AW90" s="11">
        <f>ROUND(F90*AO90,2)</f>
        <v>0</v>
      </c>
      <c r="AX90" s="11">
        <f>ROUND(F90*AP90,2)</f>
        <v>0</v>
      </c>
      <c r="AY90" s="12" t="s">
        <v>255</v>
      </c>
      <c r="AZ90" s="12" t="s">
        <v>183</v>
      </c>
      <c r="BA90" s="6" t="s">
        <v>63</v>
      </c>
      <c r="BC90" s="11">
        <f>AW90+AX90</f>
        <v>0</v>
      </c>
      <c r="BD90" s="11">
        <f>G90/(100-BE90)*100</f>
        <v>0</v>
      </c>
      <c r="BE90" s="11">
        <v>0</v>
      </c>
      <c r="BF90" s="11">
        <f>90</f>
        <v>90</v>
      </c>
      <c r="BH90" s="11">
        <f>F90*AO90</f>
        <v>0</v>
      </c>
      <c r="BI90" s="11">
        <f>F90*AP90</f>
        <v>0</v>
      </c>
      <c r="BJ90" s="11">
        <f>F90*G90</f>
        <v>0</v>
      </c>
      <c r="BK90" s="12" t="s">
        <v>64</v>
      </c>
      <c r="BL90" s="11">
        <v>732</v>
      </c>
      <c r="BW90" s="11">
        <v>21</v>
      </c>
      <c r="BX90" s="3" t="s">
        <v>300</v>
      </c>
    </row>
    <row r="91" spans="1:76" ht="24.75">
      <c r="A91" s="29" t="s">
        <v>301</v>
      </c>
      <c r="B91" s="2" t="s">
        <v>302</v>
      </c>
      <c r="C91" s="40" t="s">
        <v>303</v>
      </c>
      <c r="D91" s="38"/>
      <c r="E91" s="2" t="s">
        <v>259</v>
      </c>
      <c r="F91" s="11">
        <v>1</v>
      </c>
      <c r="G91" s="109">
        <v>0</v>
      </c>
      <c r="H91" s="11">
        <f>ROUND(F91*AO91,2)</f>
        <v>0</v>
      </c>
      <c r="I91" s="11">
        <f>ROUND(F91*AP91,2)</f>
        <v>0</v>
      </c>
      <c r="J91" s="11">
        <f>ROUND(F91*G91,2)</f>
        <v>0</v>
      </c>
      <c r="K91" s="108" t="s">
        <v>52</v>
      </c>
      <c r="Z91" s="11">
        <f>ROUND(IF(AQ91="5",BJ91,0),2)</f>
        <v>0</v>
      </c>
      <c r="AB91" s="11">
        <f>ROUND(IF(AQ91="1",BH91,0),2)</f>
        <v>0</v>
      </c>
      <c r="AC91" s="11">
        <f>ROUND(IF(AQ91="1",BI91,0),2)</f>
        <v>0</v>
      </c>
      <c r="AD91" s="11">
        <f>ROUND(IF(AQ91="7",BH91,0),2)</f>
        <v>0</v>
      </c>
      <c r="AE91" s="11">
        <f>ROUND(IF(AQ91="7",BI91,0),2)</f>
        <v>0</v>
      </c>
      <c r="AF91" s="11">
        <f>ROUND(IF(AQ91="2",BH91,0),2)</f>
        <v>0</v>
      </c>
      <c r="AG91" s="11">
        <f>ROUND(IF(AQ91="2",BI91,0),2)</f>
        <v>0</v>
      </c>
      <c r="AH91" s="11">
        <f>ROUND(IF(AQ91="0",BJ91,0),2)</f>
        <v>0</v>
      </c>
      <c r="AI91" s="6" t="s">
        <v>56</v>
      </c>
      <c r="AJ91" s="11">
        <f>IF(AN91=0,J91,0)</f>
        <v>0</v>
      </c>
      <c r="AK91" s="11">
        <f>IF(AN91=12,J91,0)</f>
        <v>0</v>
      </c>
      <c r="AL91" s="11">
        <f>IF(AN91=21,J91,0)</f>
        <v>0</v>
      </c>
      <c r="AN91" s="11">
        <v>21</v>
      </c>
      <c r="AO91" s="11">
        <f>G91*1</f>
        <v>0</v>
      </c>
      <c r="AP91" s="11">
        <f>G91*(1-1)</f>
        <v>0</v>
      </c>
      <c r="AQ91" s="12" t="s">
        <v>81</v>
      </c>
      <c r="AV91" s="11">
        <f>ROUND(AW91+AX91,2)</f>
        <v>0</v>
      </c>
      <c r="AW91" s="11">
        <f>ROUND(F91*AO91,2)</f>
        <v>0</v>
      </c>
      <c r="AX91" s="11">
        <f>ROUND(F91*AP91,2)</f>
        <v>0</v>
      </c>
      <c r="AY91" s="12" t="s">
        <v>255</v>
      </c>
      <c r="AZ91" s="12" t="s">
        <v>183</v>
      </c>
      <c r="BA91" s="6" t="s">
        <v>63</v>
      </c>
      <c r="BC91" s="11">
        <f>AW91+AX91</f>
        <v>0</v>
      </c>
      <c r="BD91" s="11">
        <f>G91/(100-BE91)*100</f>
        <v>0</v>
      </c>
      <c r="BE91" s="11">
        <v>0</v>
      </c>
      <c r="BF91" s="11">
        <f>91</f>
        <v>91</v>
      </c>
      <c r="BH91" s="11">
        <f>F91*AO91</f>
        <v>0</v>
      </c>
      <c r="BI91" s="11">
        <f>F91*AP91</f>
        <v>0</v>
      </c>
      <c r="BJ91" s="11">
        <f>F91*G91</f>
        <v>0</v>
      </c>
      <c r="BK91" s="12" t="s">
        <v>64</v>
      </c>
      <c r="BL91" s="11">
        <v>732</v>
      </c>
      <c r="BW91" s="11">
        <v>21</v>
      </c>
      <c r="BX91" s="3" t="s">
        <v>303</v>
      </c>
    </row>
    <row r="92" spans="1:76">
      <c r="A92" s="29" t="s">
        <v>304</v>
      </c>
      <c r="B92" s="2" t="s">
        <v>305</v>
      </c>
      <c r="C92" s="40" t="s">
        <v>306</v>
      </c>
      <c r="D92" s="38"/>
      <c r="E92" s="2" t="s">
        <v>60</v>
      </c>
      <c r="F92" s="11">
        <v>1</v>
      </c>
      <c r="G92" s="109">
        <v>0</v>
      </c>
      <c r="H92" s="11">
        <f>ROUND(F92*AO92,2)</f>
        <v>0</v>
      </c>
      <c r="I92" s="11">
        <f>ROUND(F92*AP92,2)</f>
        <v>0</v>
      </c>
      <c r="J92" s="11">
        <f>ROUND(F92*G92,2)</f>
        <v>0</v>
      </c>
      <c r="K92" s="108" t="s">
        <v>111</v>
      </c>
      <c r="Z92" s="11">
        <f>ROUND(IF(AQ92="5",BJ92,0),2)</f>
        <v>0</v>
      </c>
      <c r="AB92" s="11">
        <f>ROUND(IF(AQ92="1",BH92,0),2)</f>
        <v>0</v>
      </c>
      <c r="AC92" s="11">
        <f>ROUND(IF(AQ92="1",BI92,0),2)</f>
        <v>0</v>
      </c>
      <c r="AD92" s="11">
        <f>ROUND(IF(AQ92="7",BH92,0),2)</f>
        <v>0</v>
      </c>
      <c r="AE92" s="11">
        <f>ROUND(IF(AQ92="7",BI92,0),2)</f>
        <v>0</v>
      </c>
      <c r="AF92" s="11">
        <f>ROUND(IF(AQ92="2",BH92,0),2)</f>
        <v>0</v>
      </c>
      <c r="AG92" s="11">
        <f>ROUND(IF(AQ92="2",BI92,0),2)</f>
        <v>0</v>
      </c>
      <c r="AH92" s="11">
        <f>ROUND(IF(AQ92="0",BJ92,0),2)</f>
        <v>0</v>
      </c>
      <c r="AI92" s="6" t="s">
        <v>56</v>
      </c>
      <c r="AJ92" s="11">
        <f>IF(AN92=0,J92,0)</f>
        <v>0</v>
      </c>
      <c r="AK92" s="11">
        <f>IF(AN92=12,J92,0)</f>
        <v>0</v>
      </c>
      <c r="AL92" s="11">
        <f>IF(AN92=21,J92,0)</f>
        <v>0</v>
      </c>
      <c r="AN92" s="11">
        <v>21</v>
      </c>
      <c r="AO92" s="11">
        <f>G92*0.918515601</f>
        <v>0</v>
      </c>
      <c r="AP92" s="11">
        <f>G92*(1-0.918515601)</f>
        <v>0</v>
      </c>
      <c r="AQ92" s="12" t="s">
        <v>81</v>
      </c>
      <c r="AV92" s="11">
        <f>ROUND(AW92+AX92,2)</f>
        <v>0</v>
      </c>
      <c r="AW92" s="11">
        <f>ROUND(F92*AO92,2)</f>
        <v>0</v>
      </c>
      <c r="AX92" s="11">
        <f>ROUND(F92*AP92,2)</f>
        <v>0</v>
      </c>
      <c r="AY92" s="12" t="s">
        <v>255</v>
      </c>
      <c r="AZ92" s="12" t="s">
        <v>183</v>
      </c>
      <c r="BA92" s="6" t="s">
        <v>63</v>
      </c>
      <c r="BC92" s="11">
        <f>AW92+AX92</f>
        <v>0</v>
      </c>
      <c r="BD92" s="11">
        <f>G92/(100-BE92)*100</f>
        <v>0</v>
      </c>
      <c r="BE92" s="11">
        <v>0</v>
      </c>
      <c r="BF92" s="11">
        <f>92</f>
        <v>92</v>
      </c>
      <c r="BH92" s="11">
        <f>F92*AO92</f>
        <v>0</v>
      </c>
      <c r="BI92" s="11">
        <f>F92*AP92</f>
        <v>0</v>
      </c>
      <c r="BJ92" s="11">
        <f>F92*G92</f>
        <v>0</v>
      </c>
      <c r="BK92" s="12" t="s">
        <v>64</v>
      </c>
      <c r="BL92" s="11">
        <v>732</v>
      </c>
      <c r="BW92" s="11">
        <v>21</v>
      </c>
      <c r="BX92" s="3" t="s">
        <v>306</v>
      </c>
    </row>
    <row r="93" spans="1:76">
      <c r="A93" s="29" t="s">
        <v>307</v>
      </c>
      <c r="B93" s="2" t="s">
        <v>308</v>
      </c>
      <c r="C93" s="40" t="s">
        <v>309</v>
      </c>
      <c r="D93" s="38"/>
      <c r="E93" s="2" t="s">
        <v>127</v>
      </c>
      <c r="F93" s="11">
        <v>0.55047999999999997</v>
      </c>
      <c r="G93" s="109">
        <v>0</v>
      </c>
      <c r="H93" s="11">
        <f>ROUND(F93*AO93,2)</f>
        <v>0</v>
      </c>
      <c r="I93" s="11">
        <f>ROUND(F93*AP93,2)</f>
        <v>0</v>
      </c>
      <c r="J93" s="11">
        <f>ROUND(F93*G93,2)</f>
        <v>0</v>
      </c>
      <c r="K93" s="108" t="s">
        <v>111</v>
      </c>
      <c r="Z93" s="11">
        <f>ROUND(IF(AQ93="5",BJ93,0),2)</f>
        <v>0</v>
      </c>
      <c r="AB93" s="11">
        <f>ROUND(IF(AQ93="1",BH93,0),2)</f>
        <v>0</v>
      </c>
      <c r="AC93" s="11">
        <f>ROUND(IF(AQ93="1",BI93,0),2)</f>
        <v>0</v>
      </c>
      <c r="AD93" s="11">
        <f>ROUND(IF(AQ93="7",BH93,0),2)</f>
        <v>0</v>
      </c>
      <c r="AE93" s="11">
        <f>ROUND(IF(AQ93="7",BI93,0),2)</f>
        <v>0</v>
      </c>
      <c r="AF93" s="11">
        <f>ROUND(IF(AQ93="2",BH93,0),2)</f>
        <v>0</v>
      </c>
      <c r="AG93" s="11">
        <f>ROUND(IF(AQ93="2",BI93,0),2)</f>
        <v>0</v>
      </c>
      <c r="AH93" s="11">
        <f>ROUND(IF(AQ93="0",BJ93,0),2)</f>
        <v>0</v>
      </c>
      <c r="AI93" s="6" t="s">
        <v>56</v>
      </c>
      <c r="AJ93" s="11">
        <f>IF(AN93=0,J93,0)</f>
        <v>0</v>
      </c>
      <c r="AK93" s="11">
        <f>IF(AN93=12,J93,0)</f>
        <v>0</v>
      </c>
      <c r="AL93" s="11">
        <f>IF(AN93=21,J93,0)</f>
        <v>0</v>
      </c>
      <c r="AN93" s="11">
        <v>21</v>
      </c>
      <c r="AO93" s="11">
        <f>G93*0</f>
        <v>0</v>
      </c>
      <c r="AP93" s="11">
        <f>G93*(1-0)</f>
        <v>0</v>
      </c>
      <c r="AQ93" s="12" t="s">
        <v>74</v>
      </c>
      <c r="AV93" s="11">
        <f>ROUND(AW93+AX93,2)</f>
        <v>0</v>
      </c>
      <c r="AW93" s="11">
        <f>ROUND(F93*AO93,2)</f>
        <v>0</v>
      </c>
      <c r="AX93" s="11">
        <f>ROUND(F93*AP93,2)</f>
        <v>0</v>
      </c>
      <c r="AY93" s="12" t="s">
        <v>255</v>
      </c>
      <c r="AZ93" s="12" t="s">
        <v>183</v>
      </c>
      <c r="BA93" s="6" t="s">
        <v>63</v>
      </c>
      <c r="BC93" s="11">
        <f>AW93+AX93</f>
        <v>0</v>
      </c>
      <c r="BD93" s="11">
        <f>G93/(100-BE93)*100</f>
        <v>0</v>
      </c>
      <c r="BE93" s="11">
        <v>0</v>
      </c>
      <c r="BF93" s="11">
        <f>93</f>
        <v>93</v>
      </c>
      <c r="BH93" s="11">
        <f>F93*AO93</f>
        <v>0</v>
      </c>
      <c r="BI93" s="11">
        <f>F93*AP93</f>
        <v>0</v>
      </c>
      <c r="BJ93" s="11">
        <f>F93*G93</f>
        <v>0</v>
      </c>
      <c r="BK93" s="12" t="s">
        <v>64</v>
      </c>
      <c r="BL93" s="11">
        <v>732</v>
      </c>
      <c r="BW93" s="11">
        <v>21</v>
      </c>
      <c r="BX93" s="3" t="s">
        <v>309</v>
      </c>
    </row>
    <row r="94" spans="1:76">
      <c r="A94" s="29" t="s">
        <v>310</v>
      </c>
      <c r="B94" s="30" t="s">
        <v>311</v>
      </c>
      <c r="C94" s="105" t="s">
        <v>312</v>
      </c>
      <c r="D94" s="70"/>
      <c r="E94" s="30" t="s">
        <v>127</v>
      </c>
      <c r="F94" s="106">
        <v>0.55047999999999997</v>
      </c>
      <c r="G94" s="107">
        <v>0</v>
      </c>
      <c r="H94" s="106">
        <f>ROUND(F94*AO94,2)</f>
        <v>0</v>
      </c>
      <c r="I94" s="106">
        <f>ROUND(F94*AP94,2)</f>
        <v>0</v>
      </c>
      <c r="J94" s="106">
        <f>ROUND(F94*G94,2)</f>
        <v>0</v>
      </c>
      <c r="K94" s="108" t="s">
        <v>111</v>
      </c>
      <c r="Z94" s="11">
        <f>ROUND(IF(AQ94="5",BJ94,0),2)</f>
        <v>0</v>
      </c>
      <c r="AB94" s="11">
        <f>ROUND(IF(AQ94="1",BH94,0),2)</f>
        <v>0</v>
      </c>
      <c r="AC94" s="11">
        <f>ROUND(IF(AQ94="1",BI94,0),2)</f>
        <v>0</v>
      </c>
      <c r="AD94" s="11">
        <f>ROUND(IF(AQ94="7",BH94,0),2)</f>
        <v>0</v>
      </c>
      <c r="AE94" s="11">
        <f>ROUND(IF(AQ94="7",BI94,0),2)</f>
        <v>0</v>
      </c>
      <c r="AF94" s="11">
        <f>ROUND(IF(AQ94="2",BH94,0),2)</f>
        <v>0</v>
      </c>
      <c r="AG94" s="11">
        <f>ROUND(IF(AQ94="2",BI94,0),2)</f>
        <v>0</v>
      </c>
      <c r="AH94" s="11">
        <f>ROUND(IF(AQ94="0",BJ94,0),2)</f>
        <v>0</v>
      </c>
      <c r="AI94" s="6" t="s">
        <v>56</v>
      </c>
      <c r="AJ94" s="11">
        <f>IF(AN94=0,J94,0)</f>
        <v>0</v>
      </c>
      <c r="AK94" s="11">
        <f>IF(AN94=12,J94,0)</f>
        <v>0</v>
      </c>
      <c r="AL94" s="11">
        <f>IF(AN94=21,J94,0)</f>
        <v>0</v>
      </c>
      <c r="AN94" s="11">
        <v>21</v>
      </c>
      <c r="AO94" s="11">
        <f>G94*0</f>
        <v>0</v>
      </c>
      <c r="AP94" s="11">
        <f>G94*(1-0)</f>
        <v>0</v>
      </c>
      <c r="AQ94" s="12" t="s">
        <v>74</v>
      </c>
      <c r="AV94" s="11">
        <f>ROUND(AW94+AX94,2)</f>
        <v>0</v>
      </c>
      <c r="AW94" s="11">
        <f>ROUND(F94*AO94,2)</f>
        <v>0</v>
      </c>
      <c r="AX94" s="11">
        <f>ROUND(F94*AP94,2)</f>
        <v>0</v>
      </c>
      <c r="AY94" s="12" t="s">
        <v>255</v>
      </c>
      <c r="AZ94" s="12" t="s">
        <v>183</v>
      </c>
      <c r="BA94" s="6" t="s">
        <v>63</v>
      </c>
      <c r="BC94" s="11">
        <f>AW94+AX94</f>
        <v>0</v>
      </c>
      <c r="BD94" s="11">
        <f>G94/(100-BE94)*100</f>
        <v>0</v>
      </c>
      <c r="BE94" s="11">
        <v>0</v>
      </c>
      <c r="BF94" s="11">
        <f>94</f>
        <v>94</v>
      </c>
      <c r="BH94" s="11">
        <f>F94*AO94</f>
        <v>0</v>
      </c>
      <c r="BI94" s="11">
        <f>F94*AP94</f>
        <v>0</v>
      </c>
      <c r="BJ94" s="11">
        <f>F94*G94</f>
        <v>0</v>
      </c>
      <c r="BK94" s="12" t="s">
        <v>64</v>
      </c>
      <c r="BL94" s="11">
        <v>732</v>
      </c>
      <c r="BW94" s="11">
        <v>21</v>
      </c>
      <c r="BX94" s="3" t="s">
        <v>312</v>
      </c>
    </row>
    <row r="95" spans="1:76">
      <c r="A95" s="13" t="s">
        <v>52</v>
      </c>
      <c r="B95" s="100" t="s">
        <v>313</v>
      </c>
      <c r="C95" s="101" t="s">
        <v>314</v>
      </c>
      <c r="D95" s="102"/>
      <c r="E95" s="103" t="s">
        <v>4</v>
      </c>
      <c r="F95" s="103" t="s">
        <v>4</v>
      </c>
      <c r="G95" s="97" t="s">
        <v>4</v>
      </c>
      <c r="H95" s="104">
        <f>SUM(H96:H105)</f>
        <v>0</v>
      </c>
      <c r="I95" s="104">
        <f>SUM(I96:I105)</f>
        <v>0</v>
      </c>
      <c r="J95" s="104">
        <f>SUM(J96:J105)</f>
        <v>0</v>
      </c>
      <c r="K95" s="14" t="s">
        <v>52</v>
      </c>
      <c r="AI95" s="6" t="s">
        <v>56</v>
      </c>
      <c r="AS95" s="1">
        <f>SUM(AJ96:AJ105)</f>
        <v>0</v>
      </c>
      <c r="AT95" s="1">
        <f>SUM(AK96:AK105)</f>
        <v>0</v>
      </c>
      <c r="AU95" s="1">
        <f>SUM(AL96:AL105)</f>
        <v>0</v>
      </c>
    </row>
    <row r="96" spans="1:76">
      <c r="A96" s="29" t="s">
        <v>315</v>
      </c>
      <c r="B96" s="30" t="s">
        <v>316</v>
      </c>
      <c r="C96" s="105" t="s">
        <v>317</v>
      </c>
      <c r="D96" s="70"/>
      <c r="E96" s="30" t="s">
        <v>120</v>
      </c>
      <c r="F96" s="106">
        <v>6</v>
      </c>
      <c r="G96" s="107">
        <v>0</v>
      </c>
      <c r="H96" s="106">
        <f>ROUND(F96*AO96,2)</f>
        <v>0</v>
      </c>
      <c r="I96" s="106">
        <f>ROUND(F96*AP96,2)</f>
        <v>0</v>
      </c>
      <c r="J96" s="106">
        <f>ROUND(F96*G96,2)</f>
        <v>0</v>
      </c>
      <c r="K96" s="108" t="s">
        <v>111</v>
      </c>
      <c r="Z96" s="11">
        <f>ROUND(IF(AQ96="5",BJ96,0),2)</f>
        <v>0</v>
      </c>
      <c r="AB96" s="11">
        <f>ROUND(IF(AQ96="1",BH96,0),2)</f>
        <v>0</v>
      </c>
      <c r="AC96" s="11">
        <f>ROUND(IF(AQ96="1",BI96,0),2)</f>
        <v>0</v>
      </c>
      <c r="AD96" s="11">
        <f>ROUND(IF(AQ96="7",BH96,0),2)</f>
        <v>0</v>
      </c>
      <c r="AE96" s="11">
        <f>ROUND(IF(AQ96="7",BI96,0),2)</f>
        <v>0</v>
      </c>
      <c r="AF96" s="11">
        <f>ROUND(IF(AQ96="2",BH96,0),2)</f>
        <v>0</v>
      </c>
      <c r="AG96" s="11">
        <f>ROUND(IF(AQ96="2",BI96,0),2)</f>
        <v>0</v>
      </c>
      <c r="AH96" s="11">
        <f>ROUND(IF(AQ96="0",BJ96,0),2)</f>
        <v>0</v>
      </c>
      <c r="AI96" s="6" t="s">
        <v>56</v>
      </c>
      <c r="AJ96" s="11">
        <f>IF(AN96=0,J96,0)</f>
        <v>0</v>
      </c>
      <c r="AK96" s="11">
        <f>IF(AN96=12,J96,0)</f>
        <v>0</v>
      </c>
      <c r="AL96" s="11">
        <f>IF(AN96=21,J96,0)</f>
        <v>0</v>
      </c>
      <c r="AN96" s="11">
        <v>21</v>
      </c>
      <c r="AO96" s="11">
        <f>G96*0.161482255</f>
        <v>0</v>
      </c>
      <c r="AP96" s="11">
        <f>G96*(1-0.161482255)</f>
        <v>0</v>
      </c>
      <c r="AQ96" s="12" t="s">
        <v>81</v>
      </c>
      <c r="AV96" s="11">
        <f>ROUND(AW96+AX96,2)</f>
        <v>0</v>
      </c>
      <c r="AW96" s="11">
        <f>ROUND(F96*AO96,2)</f>
        <v>0</v>
      </c>
      <c r="AX96" s="11">
        <f>ROUND(F96*AP96,2)</f>
        <v>0</v>
      </c>
      <c r="AY96" s="12" t="s">
        <v>318</v>
      </c>
      <c r="AZ96" s="12" t="s">
        <v>183</v>
      </c>
      <c r="BA96" s="6" t="s">
        <v>63</v>
      </c>
      <c r="BC96" s="11">
        <f>AW96+AX96</f>
        <v>0</v>
      </c>
      <c r="BD96" s="11">
        <f>G96/(100-BE96)*100</f>
        <v>0</v>
      </c>
      <c r="BE96" s="11">
        <v>0</v>
      </c>
      <c r="BF96" s="11">
        <f>96</f>
        <v>96</v>
      </c>
      <c r="BH96" s="11">
        <f>F96*AO96</f>
        <v>0</v>
      </c>
      <c r="BI96" s="11">
        <f>F96*AP96</f>
        <v>0</v>
      </c>
      <c r="BJ96" s="11">
        <f>F96*G96</f>
        <v>0</v>
      </c>
      <c r="BK96" s="12" t="s">
        <v>64</v>
      </c>
      <c r="BL96" s="11">
        <v>733</v>
      </c>
      <c r="BW96" s="11">
        <v>21</v>
      </c>
      <c r="BX96" s="3" t="s">
        <v>317</v>
      </c>
    </row>
    <row r="97" spans="1:76">
      <c r="A97" s="29" t="s">
        <v>319</v>
      </c>
      <c r="B97" s="2" t="s">
        <v>320</v>
      </c>
      <c r="C97" s="40" t="s">
        <v>321</v>
      </c>
      <c r="D97" s="38"/>
      <c r="E97" s="2" t="s">
        <v>120</v>
      </c>
      <c r="F97" s="11">
        <v>6</v>
      </c>
      <c r="G97" s="109">
        <v>0</v>
      </c>
      <c r="H97" s="11">
        <f>ROUND(F97*AO97,2)</f>
        <v>0</v>
      </c>
      <c r="I97" s="11">
        <f>ROUND(F97*AP97,2)</f>
        <v>0</v>
      </c>
      <c r="J97" s="11">
        <f>ROUND(F97*G97,2)</f>
        <v>0</v>
      </c>
      <c r="K97" s="108" t="s">
        <v>111</v>
      </c>
      <c r="Z97" s="11">
        <f>ROUND(IF(AQ97="5",BJ97,0),2)</f>
        <v>0</v>
      </c>
      <c r="AB97" s="11">
        <f>ROUND(IF(AQ97="1",BH97,0),2)</f>
        <v>0</v>
      </c>
      <c r="AC97" s="11">
        <f>ROUND(IF(AQ97="1",BI97,0),2)</f>
        <v>0</v>
      </c>
      <c r="AD97" s="11">
        <f>ROUND(IF(AQ97="7",BH97,0),2)</f>
        <v>0</v>
      </c>
      <c r="AE97" s="11">
        <f>ROUND(IF(AQ97="7",BI97,0),2)</f>
        <v>0</v>
      </c>
      <c r="AF97" s="11">
        <f>ROUND(IF(AQ97="2",BH97,0),2)</f>
        <v>0</v>
      </c>
      <c r="AG97" s="11">
        <f>ROUND(IF(AQ97="2",BI97,0),2)</f>
        <v>0</v>
      </c>
      <c r="AH97" s="11">
        <f>ROUND(IF(AQ97="0",BJ97,0),2)</f>
        <v>0</v>
      </c>
      <c r="AI97" s="6" t="s">
        <v>56</v>
      </c>
      <c r="AJ97" s="11">
        <f>IF(AN97=0,J97,0)</f>
        <v>0</v>
      </c>
      <c r="AK97" s="11">
        <f>IF(AN97=12,J97,0)</f>
        <v>0</v>
      </c>
      <c r="AL97" s="11">
        <f>IF(AN97=21,J97,0)</f>
        <v>0</v>
      </c>
      <c r="AN97" s="11">
        <v>21</v>
      </c>
      <c r="AO97" s="11">
        <f>G97*0.503351303</f>
        <v>0</v>
      </c>
      <c r="AP97" s="11">
        <f>G97*(1-0.503351303)</f>
        <v>0</v>
      </c>
      <c r="AQ97" s="12" t="s">
        <v>81</v>
      </c>
      <c r="AV97" s="11">
        <f>ROUND(AW97+AX97,2)</f>
        <v>0</v>
      </c>
      <c r="AW97" s="11">
        <f>ROUND(F97*AO97,2)</f>
        <v>0</v>
      </c>
      <c r="AX97" s="11">
        <f>ROUND(F97*AP97,2)</f>
        <v>0</v>
      </c>
      <c r="AY97" s="12" t="s">
        <v>318</v>
      </c>
      <c r="AZ97" s="12" t="s">
        <v>183</v>
      </c>
      <c r="BA97" s="6" t="s">
        <v>63</v>
      </c>
      <c r="BC97" s="11">
        <f>AW97+AX97</f>
        <v>0</v>
      </c>
      <c r="BD97" s="11">
        <f>G97/(100-BE97)*100</f>
        <v>0</v>
      </c>
      <c r="BE97" s="11">
        <v>0</v>
      </c>
      <c r="BF97" s="11">
        <f>97</f>
        <v>97</v>
      </c>
      <c r="BH97" s="11">
        <f>F97*AO97</f>
        <v>0</v>
      </c>
      <c r="BI97" s="11">
        <f>F97*AP97</f>
        <v>0</v>
      </c>
      <c r="BJ97" s="11">
        <f>F97*G97</f>
        <v>0</v>
      </c>
      <c r="BK97" s="12" t="s">
        <v>64</v>
      </c>
      <c r="BL97" s="11">
        <v>733</v>
      </c>
      <c r="BW97" s="11">
        <v>21</v>
      </c>
      <c r="BX97" s="3" t="s">
        <v>321</v>
      </c>
    </row>
    <row r="98" spans="1:76">
      <c r="A98" s="29" t="s">
        <v>322</v>
      </c>
      <c r="B98" s="2" t="s">
        <v>323</v>
      </c>
      <c r="C98" s="40" t="s">
        <v>324</v>
      </c>
      <c r="D98" s="38"/>
      <c r="E98" s="2" t="s">
        <v>120</v>
      </c>
      <c r="F98" s="11">
        <v>6</v>
      </c>
      <c r="G98" s="109">
        <v>0</v>
      </c>
      <c r="H98" s="11">
        <f>ROUND(F98*AO98,2)</f>
        <v>0</v>
      </c>
      <c r="I98" s="11">
        <f>ROUND(F98*AP98,2)</f>
        <v>0</v>
      </c>
      <c r="J98" s="11">
        <f>ROUND(F98*G98,2)</f>
        <v>0</v>
      </c>
      <c r="K98" s="108" t="s">
        <v>111</v>
      </c>
      <c r="Z98" s="11">
        <f>ROUND(IF(AQ98="5",BJ98,0),2)</f>
        <v>0</v>
      </c>
      <c r="AB98" s="11">
        <f>ROUND(IF(AQ98="1",BH98,0),2)</f>
        <v>0</v>
      </c>
      <c r="AC98" s="11">
        <f>ROUND(IF(AQ98="1",BI98,0),2)</f>
        <v>0</v>
      </c>
      <c r="AD98" s="11">
        <f>ROUND(IF(AQ98="7",BH98,0),2)</f>
        <v>0</v>
      </c>
      <c r="AE98" s="11">
        <f>ROUND(IF(AQ98="7",BI98,0),2)</f>
        <v>0</v>
      </c>
      <c r="AF98" s="11">
        <f>ROUND(IF(AQ98="2",BH98,0),2)</f>
        <v>0</v>
      </c>
      <c r="AG98" s="11">
        <f>ROUND(IF(AQ98="2",BI98,0),2)</f>
        <v>0</v>
      </c>
      <c r="AH98" s="11">
        <f>ROUND(IF(AQ98="0",BJ98,0),2)</f>
        <v>0</v>
      </c>
      <c r="AI98" s="6" t="s">
        <v>56</v>
      </c>
      <c r="AJ98" s="11">
        <f>IF(AN98=0,J98,0)</f>
        <v>0</v>
      </c>
      <c r="AK98" s="11">
        <f>IF(AN98=12,J98,0)</f>
        <v>0</v>
      </c>
      <c r="AL98" s="11">
        <f>IF(AN98=21,J98,0)</f>
        <v>0</v>
      </c>
      <c r="AN98" s="11">
        <v>21</v>
      </c>
      <c r="AO98" s="11">
        <f>G98*0.023376623</f>
        <v>0</v>
      </c>
      <c r="AP98" s="11">
        <f>G98*(1-0.023376623)</f>
        <v>0</v>
      </c>
      <c r="AQ98" s="12" t="s">
        <v>81</v>
      </c>
      <c r="AV98" s="11">
        <f>ROUND(AW98+AX98,2)</f>
        <v>0</v>
      </c>
      <c r="AW98" s="11">
        <f>ROUND(F98*AO98,2)</f>
        <v>0</v>
      </c>
      <c r="AX98" s="11">
        <f>ROUND(F98*AP98,2)</f>
        <v>0</v>
      </c>
      <c r="AY98" s="12" t="s">
        <v>318</v>
      </c>
      <c r="AZ98" s="12" t="s">
        <v>183</v>
      </c>
      <c r="BA98" s="6" t="s">
        <v>63</v>
      </c>
      <c r="BC98" s="11">
        <f>AW98+AX98</f>
        <v>0</v>
      </c>
      <c r="BD98" s="11">
        <f>G98/(100-BE98)*100</f>
        <v>0</v>
      </c>
      <c r="BE98" s="11">
        <v>0</v>
      </c>
      <c r="BF98" s="11">
        <f>98</f>
        <v>98</v>
      </c>
      <c r="BH98" s="11">
        <f>F98*AO98</f>
        <v>0</v>
      </c>
      <c r="BI98" s="11">
        <f>F98*AP98</f>
        <v>0</v>
      </c>
      <c r="BJ98" s="11">
        <f>F98*G98</f>
        <v>0</v>
      </c>
      <c r="BK98" s="12" t="s">
        <v>64</v>
      </c>
      <c r="BL98" s="11">
        <v>733</v>
      </c>
      <c r="BW98" s="11">
        <v>21</v>
      </c>
      <c r="BX98" s="3" t="s">
        <v>324</v>
      </c>
    </row>
    <row r="99" spans="1:76">
      <c r="A99" s="29" t="s">
        <v>325</v>
      </c>
      <c r="B99" s="2" t="s">
        <v>326</v>
      </c>
      <c r="C99" s="40" t="s">
        <v>327</v>
      </c>
      <c r="D99" s="38"/>
      <c r="E99" s="2" t="s">
        <v>120</v>
      </c>
      <c r="F99" s="11">
        <v>3</v>
      </c>
      <c r="G99" s="109">
        <v>0</v>
      </c>
      <c r="H99" s="11">
        <f>ROUND(F99*AO99,2)</f>
        <v>0</v>
      </c>
      <c r="I99" s="11">
        <f>ROUND(F99*AP99,2)</f>
        <v>0</v>
      </c>
      <c r="J99" s="11">
        <f>ROUND(F99*G99,2)</f>
        <v>0</v>
      </c>
      <c r="K99" s="108" t="s">
        <v>111</v>
      </c>
      <c r="Z99" s="11">
        <f>ROUND(IF(AQ99="5",BJ99,0),2)</f>
        <v>0</v>
      </c>
      <c r="AB99" s="11">
        <f>ROUND(IF(AQ99="1",BH99,0),2)</f>
        <v>0</v>
      </c>
      <c r="AC99" s="11">
        <f>ROUND(IF(AQ99="1",BI99,0),2)</f>
        <v>0</v>
      </c>
      <c r="AD99" s="11">
        <f>ROUND(IF(AQ99="7",BH99,0),2)</f>
        <v>0</v>
      </c>
      <c r="AE99" s="11">
        <f>ROUND(IF(AQ99="7",BI99,0),2)</f>
        <v>0</v>
      </c>
      <c r="AF99" s="11">
        <f>ROUND(IF(AQ99="2",BH99,0),2)</f>
        <v>0</v>
      </c>
      <c r="AG99" s="11">
        <f>ROUND(IF(AQ99="2",BI99,0),2)</f>
        <v>0</v>
      </c>
      <c r="AH99" s="11">
        <f>ROUND(IF(AQ99="0",BJ99,0),2)</f>
        <v>0</v>
      </c>
      <c r="AI99" s="6" t="s">
        <v>56</v>
      </c>
      <c r="AJ99" s="11">
        <f>IF(AN99=0,J99,0)</f>
        <v>0</v>
      </c>
      <c r="AK99" s="11">
        <f>IF(AN99=12,J99,0)</f>
        <v>0</v>
      </c>
      <c r="AL99" s="11">
        <f>IF(AN99=21,J99,0)</f>
        <v>0</v>
      </c>
      <c r="AN99" s="11">
        <v>21</v>
      </c>
      <c r="AO99" s="11">
        <f>G99*0.199520312</f>
        <v>0</v>
      </c>
      <c r="AP99" s="11">
        <f>G99*(1-0.199520312)</f>
        <v>0</v>
      </c>
      <c r="AQ99" s="12" t="s">
        <v>81</v>
      </c>
      <c r="AV99" s="11">
        <f>ROUND(AW99+AX99,2)</f>
        <v>0</v>
      </c>
      <c r="AW99" s="11">
        <f>ROUND(F99*AO99,2)</f>
        <v>0</v>
      </c>
      <c r="AX99" s="11">
        <f>ROUND(F99*AP99,2)</f>
        <v>0</v>
      </c>
      <c r="AY99" s="12" t="s">
        <v>318</v>
      </c>
      <c r="AZ99" s="12" t="s">
        <v>183</v>
      </c>
      <c r="BA99" s="6" t="s">
        <v>63</v>
      </c>
      <c r="BC99" s="11">
        <f>AW99+AX99</f>
        <v>0</v>
      </c>
      <c r="BD99" s="11">
        <f>G99/(100-BE99)*100</f>
        <v>0</v>
      </c>
      <c r="BE99" s="11">
        <v>0</v>
      </c>
      <c r="BF99" s="11">
        <f>99</f>
        <v>99</v>
      </c>
      <c r="BH99" s="11">
        <f>F99*AO99</f>
        <v>0</v>
      </c>
      <c r="BI99" s="11">
        <f>F99*AP99</f>
        <v>0</v>
      </c>
      <c r="BJ99" s="11">
        <f>F99*G99</f>
        <v>0</v>
      </c>
      <c r="BK99" s="12" t="s">
        <v>64</v>
      </c>
      <c r="BL99" s="11">
        <v>733</v>
      </c>
      <c r="BW99" s="11">
        <v>21</v>
      </c>
      <c r="BX99" s="3" t="s">
        <v>327</v>
      </c>
    </row>
    <row r="100" spans="1:76">
      <c r="A100" s="29" t="s">
        <v>328</v>
      </c>
      <c r="B100" s="2" t="s">
        <v>329</v>
      </c>
      <c r="C100" s="40" t="s">
        <v>330</v>
      </c>
      <c r="D100" s="38"/>
      <c r="E100" s="2" t="s">
        <v>120</v>
      </c>
      <c r="F100" s="11">
        <v>3</v>
      </c>
      <c r="G100" s="109">
        <v>0</v>
      </c>
      <c r="H100" s="11">
        <f>ROUND(F100*AO100,2)</f>
        <v>0</v>
      </c>
      <c r="I100" s="11">
        <f>ROUND(F100*AP100,2)</f>
        <v>0</v>
      </c>
      <c r="J100" s="11">
        <f>ROUND(F100*G100,2)</f>
        <v>0</v>
      </c>
      <c r="K100" s="108" t="s">
        <v>111</v>
      </c>
      <c r="Z100" s="11">
        <f>ROUND(IF(AQ100="5",BJ100,0),2)</f>
        <v>0</v>
      </c>
      <c r="AB100" s="11">
        <f>ROUND(IF(AQ100="1",BH100,0),2)</f>
        <v>0</v>
      </c>
      <c r="AC100" s="11">
        <f>ROUND(IF(AQ100="1",BI100,0),2)</f>
        <v>0</v>
      </c>
      <c r="AD100" s="11">
        <f>ROUND(IF(AQ100="7",BH100,0),2)</f>
        <v>0</v>
      </c>
      <c r="AE100" s="11">
        <f>ROUND(IF(AQ100="7",BI100,0),2)</f>
        <v>0</v>
      </c>
      <c r="AF100" s="11">
        <f>ROUND(IF(AQ100="2",BH100,0),2)</f>
        <v>0</v>
      </c>
      <c r="AG100" s="11">
        <f>ROUND(IF(AQ100="2",BI100,0),2)</f>
        <v>0</v>
      </c>
      <c r="AH100" s="11">
        <f>ROUND(IF(AQ100="0",BJ100,0),2)</f>
        <v>0</v>
      </c>
      <c r="AI100" s="6" t="s">
        <v>56</v>
      </c>
      <c r="AJ100" s="11">
        <f>IF(AN100=0,J100,0)</f>
        <v>0</v>
      </c>
      <c r="AK100" s="11">
        <f>IF(AN100=12,J100,0)</f>
        <v>0</v>
      </c>
      <c r="AL100" s="11">
        <f>IF(AN100=21,J100,0)</f>
        <v>0</v>
      </c>
      <c r="AN100" s="11">
        <v>21</v>
      </c>
      <c r="AO100" s="11">
        <f>G100*0.50383148</f>
        <v>0</v>
      </c>
      <c r="AP100" s="11">
        <f>G100*(1-0.50383148)</f>
        <v>0</v>
      </c>
      <c r="AQ100" s="12" t="s">
        <v>81</v>
      </c>
      <c r="AV100" s="11">
        <f>ROUND(AW100+AX100,2)</f>
        <v>0</v>
      </c>
      <c r="AW100" s="11">
        <f>ROUND(F100*AO100,2)</f>
        <v>0</v>
      </c>
      <c r="AX100" s="11">
        <f>ROUND(F100*AP100,2)</f>
        <v>0</v>
      </c>
      <c r="AY100" s="12" t="s">
        <v>318</v>
      </c>
      <c r="AZ100" s="12" t="s">
        <v>183</v>
      </c>
      <c r="BA100" s="6" t="s">
        <v>63</v>
      </c>
      <c r="BC100" s="11">
        <f>AW100+AX100</f>
        <v>0</v>
      </c>
      <c r="BD100" s="11">
        <f>G100/(100-BE100)*100</f>
        <v>0</v>
      </c>
      <c r="BE100" s="11">
        <v>0</v>
      </c>
      <c r="BF100" s="11">
        <f>100</f>
        <v>100</v>
      </c>
      <c r="BH100" s="11">
        <f>F100*AO100</f>
        <v>0</v>
      </c>
      <c r="BI100" s="11">
        <f>F100*AP100</f>
        <v>0</v>
      </c>
      <c r="BJ100" s="11">
        <f>F100*G100</f>
        <v>0</v>
      </c>
      <c r="BK100" s="12" t="s">
        <v>64</v>
      </c>
      <c r="BL100" s="11">
        <v>733</v>
      </c>
      <c r="BW100" s="11">
        <v>21</v>
      </c>
      <c r="BX100" s="3" t="s">
        <v>330</v>
      </c>
    </row>
    <row r="101" spans="1:76">
      <c r="A101" s="29" t="s">
        <v>331</v>
      </c>
      <c r="B101" s="2" t="s">
        <v>332</v>
      </c>
      <c r="C101" s="40" t="s">
        <v>333</v>
      </c>
      <c r="D101" s="38"/>
      <c r="E101" s="2" t="s">
        <v>120</v>
      </c>
      <c r="F101" s="11">
        <v>3</v>
      </c>
      <c r="G101" s="109">
        <v>0</v>
      </c>
      <c r="H101" s="11">
        <f>ROUND(F101*AO101,2)</f>
        <v>0</v>
      </c>
      <c r="I101" s="11">
        <f>ROUND(F101*AP101,2)</f>
        <v>0</v>
      </c>
      <c r="J101" s="11">
        <f>ROUND(F101*G101,2)</f>
        <v>0</v>
      </c>
      <c r="K101" s="108" t="s">
        <v>111</v>
      </c>
      <c r="Z101" s="11">
        <f>ROUND(IF(AQ101="5",BJ101,0),2)</f>
        <v>0</v>
      </c>
      <c r="AB101" s="11">
        <f>ROUND(IF(AQ101="1",BH101,0),2)</f>
        <v>0</v>
      </c>
      <c r="AC101" s="11">
        <f>ROUND(IF(AQ101="1",BI101,0),2)</f>
        <v>0</v>
      </c>
      <c r="AD101" s="11">
        <f>ROUND(IF(AQ101="7",BH101,0),2)</f>
        <v>0</v>
      </c>
      <c r="AE101" s="11">
        <f>ROUND(IF(AQ101="7",BI101,0),2)</f>
        <v>0</v>
      </c>
      <c r="AF101" s="11">
        <f>ROUND(IF(AQ101="2",BH101,0),2)</f>
        <v>0</v>
      </c>
      <c r="AG101" s="11">
        <f>ROUND(IF(AQ101="2",BI101,0),2)</f>
        <v>0</v>
      </c>
      <c r="AH101" s="11">
        <f>ROUND(IF(AQ101="0",BJ101,0),2)</f>
        <v>0</v>
      </c>
      <c r="AI101" s="6" t="s">
        <v>56</v>
      </c>
      <c r="AJ101" s="11">
        <f>IF(AN101=0,J101,0)</f>
        <v>0</v>
      </c>
      <c r="AK101" s="11">
        <f>IF(AN101=12,J101,0)</f>
        <v>0</v>
      </c>
      <c r="AL101" s="11">
        <f>IF(AN101=21,J101,0)</f>
        <v>0</v>
      </c>
      <c r="AN101" s="11">
        <v>21</v>
      </c>
      <c r="AO101" s="11">
        <f>G101*0.021538462</f>
        <v>0</v>
      </c>
      <c r="AP101" s="11">
        <f>G101*(1-0.021538462)</f>
        <v>0</v>
      </c>
      <c r="AQ101" s="12" t="s">
        <v>81</v>
      </c>
      <c r="AV101" s="11">
        <f>ROUND(AW101+AX101,2)</f>
        <v>0</v>
      </c>
      <c r="AW101" s="11">
        <f>ROUND(F101*AO101,2)</f>
        <v>0</v>
      </c>
      <c r="AX101" s="11">
        <f>ROUND(F101*AP101,2)</f>
        <v>0</v>
      </c>
      <c r="AY101" s="12" t="s">
        <v>318</v>
      </c>
      <c r="AZ101" s="12" t="s">
        <v>183</v>
      </c>
      <c r="BA101" s="6" t="s">
        <v>63</v>
      </c>
      <c r="BC101" s="11">
        <f>AW101+AX101</f>
        <v>0</v>
      </c>
      <c r="BD101" s="11">
        <f>G101/(100-BE101)*100</f>
        <v>0</v>
      </c>
      <c r="BE101" s="11">
        <v>0</v>
      </c>
      <c r="BF101" s="11">
        <f>101</f>
        <v>101</v>
      </c>
      <c r="BH101" s="11">
        <f>F101*AO101</f>
        <v>0</v>
      </c>
      <c r="BI101" s="11">
        <f>F101*AP101</f>
        <v>0</v>
      </c>
      <c r="BJ101" s="11">
        <f>F101*G101</f>
        <v>0</v>
      </c>
      <c r="BK101" s="12" t="s">
        <v>64</v>
      </c>
      <c r="BL101" s="11">
        <v>733</v>
      </c>
      <c r="BW101" s="11">
        <v>21</v>
      </c>
      <c r="BX101" s="3" t="s">
        <v>333</v>
      </c>
    </row>
    <row r="102" spans="1:76">
      <c r="A102" s="29" t="s">
        <v>334</v>
      </c>
      <c r="B102" s="2" t="s">
        <v>335</v>
      </c>
      <c r="C102" s="40" t="s">
        <v>336</v>
      </c>
      <c r="D102" s="38"/>
      <c r="E102" s="2" t="s">
        <v>80</v>
      </c>
      <c r="F102" s="11">
        <v>1</v>
      </c>
      <c r="G102" s="109">
        <v>0</v>
      </c>
      <c r="H102" s="11">
        <f>ROUND(F102*AO102,2)</f>
        <v>0</v>
      </c>
      <c r="I102" s="11">
        <f>ROUND(F102*AP102,2)</f>
        <v>0</v>
      </c>
      <c r="J102" s="11">
        <f>ROUND(F102*G102,2)</f>
        <v>0</v>
      </c>
      <c r="K102" s="108" t="s">
        <v>111</v>
      </c>
      <c r="Z102" s="11">
        <f>ROUND(IF(AQ102="5",BJ102,0),2)</f>
        <v>0</v>
      </c>
      <c r="AB102" s="11">
        <f>ROUND(IF(AQ102="1",BH102,0),2)</f>
        <v>0</v>
      </c>
      <c r="AC102" s="11">
        <f>ROUND(IF(AQ102="1",BI102,0),2)</f>
        <v>0</v>
      </c>
      <c r="AD102" s="11">
        <f>ROUND(IF(AQ102="7",BH102,0),2)</f>
        <v>0</v>
      </c>
      <c r="AE102" s="11">
        <f>ROUND(IF(AQ102="7",BI102,0),2)</f>
        <v>0</v>
      </c>
      <c r="AF102" s="11">
        <f>ROUND(IF(AQ102="2",BH102,0),2)</f>
        <v>0</v>
      </c>
      <c r="AG102" s="11">
        <f>ROUND(IF(AQ102="2",BI102,0),2)</f>
        <v>0</v>
      </c>
      <c r="AH102" s="11">
        <f>ROUND(IF(AQ102="0",BJ102,0),2)</f>
        <v>0</v>
      </c>
      <c r="AI102" s="6" t="s">
        <v>56</v>
      </c>
      <c r="AJ102" s="11">
        <f>IF(AN102=0,J102,0)</f>
        <v>0</v>
      </c>
      <c r="AK102" s="11">
        <f>IF(AN102=12,J102,0)</f>
        <v>0</v>
      </c>
      <c r="AL102" s="11">
        <f>IF(AN102=21,J102,0)</f>
        <v>0</v>
      </c>
      <c r="AN102" s="11">
        <v>21</v>
      </c>
      <c r="AO102" s="11">
        <f>G102*0</f>
        <v>0</v>
      </c>
      <c r="AP102" s="11">
        <f>G102*(1-0)</f>
        <v>0</v>
      </c>
      <c r="AQ102" s="12" t="s">
        <v>65</v>
      </c>
      <c r="AV102" s="11">
        <f>ROUND(AW102+AX102,2)</f>
        <v>0</v>
      </c>
      <c r="AW102" s="11">
        <f>ROUND(F102*AO102,2)</f>
        <v>0</v>
      </c>
      <c r="AX102" s="11">
        <f>ROUND(F102*AP102,2)</f>
        <v>0</v>
      </c>
      <c r="AY102" s="12" t="s">
        <v>318</v>
      </c>
      <c r="AZ102" s="12" t="s">
        <v>183</v>
      </c>
      <c r="BA102" s="6" t="s">
        <v>63</v>
      </c>
      <c r="BC102" s="11">
        <f>AW102+AX102</f>
        <v>0</v>
      </c>
      <c r="BD102" s="11">
        <f>G102/(100-BE102)*100</f>
        <v>0</v>
      </c>
      <c r="BE102" s="11">
        <v>0</v>
      </c>
      <c r="BF102" s="11">
        <f>102</f>
        <v>102</v>
      </c>
      <c r="BH102" s="11">
        <f>F102*AO102</f>
        <v>0</v>
      </c>
      <c r="BI102" s="11">
        <f>F102*AP102</f>
        <v>0</v>
      </c>
      <c r="BJ102" s="11">
        <f>F102*G102</f>
        <v>0</v>
      </c>
      <c r="BK102" s="12" t="s">
        <v>64</v>
      </c>
      <c r="BL102" s="11">
        <v>733</v>
      </c>
      <c r="BW102" s="11">
        <v>21</v>
      </c>
      <c r="BX102" s="3" t="s">
        <v>336</v>
      </c>
    </row>
    <row r="103" spans="1:76">
      <c r="A103" s="29" t="s">
        <v>337</v>
      </c>
      <c r="B103" s="2" t="s">
        <v>338</v>
      </c>
      <c r="C103" s="40" t="s">
        <v>339</v>
      </c>
      <c r="D103" s="38"/>
      <c r="E103" s="2" t="s">
        <v>120</v>
      </c>
      <c r="F103" s="11">
        <v>5</v>
      </c>
      <c r="G103" s="109">
        <v>0</v>
      </c>
      <c r="H103" s="11">
        <f>ROUND(F103*AO103,2)</f>
        <v>0</v>
      </c>
      <c r="I103" s="11">
        <f>ROUND(F103*AP103,2)</f>
        <v>0</v>
      </c>
      <c r="J103" s="11">
        <f>ROUND(F103*G103,2)</f>
        <v>0</v>
      </c>
      <c r="K103" s="108" t="s">
        <v>111</v>
      </c>
      <c r="Z103" s="11">
        <f>ROUND(IF(AQ103="5",BJ103,0),2)</f>
        <v>0</v>
      </c>
      <c r="AB103" s="11">
        <f>ROUND(IF(AQ103="1",BH103,0),2)</f>
        <v>0</v>
      </c>
      <c r="AC103" s="11">
        <f>ROUND(IF(AQ103="1",BI103,0),2)</f>
        <v>0</v>
      </c>
      <c r="AD103" s="11">
        <f>ROUND(IF(AQ103="7",BH103,0),2)</f>
        <v>0</v>
      </c>
      <c r="AE103" s="11">
        <f>ROUND(IF(AQ103="7",BI103,0),2)</f>
        <v>0</v>
      </c>
      <c r="AF103" s="11">
        <f>ROUND(IF(AQ103="2",BH103,0),2)</f>
        <v>0</v>
      </c>
      <c r="AG103" s="11">
        <f>ROUND(IF(AQ103="2",BI103,0),2)</f>
        <v>0</v>
      </c>
      <c r="AH103" s="11">
        <f>ROUND(IF(AQ103="0",BJ103,0),2)</f>
        <v>0</v>
      </c>
      <c r="AI103" s="6" t="s">
        <v>56</v>
      </c>
      <c r="AJ103" s="11">
        <f>IF(AN103=0,J103,0)</f>
        <v>0</v>
      </c>
      <c r="AK103" s="11">
        <f>IF(AN103=12,J103,0)</f>
        <v>0</v>
      </c>
      <c r="AL103" s="11">
        <f>IF(AN103=21,J103,0)</f>
        <v>0</v>
      </c>
      <c r="AN103" s="11">
        <v>21</v>
      </c>
      <c r="AO103" s="11">
        <f>G103*0</f>
        <v>0</v>
      </c>
      <c r="AP103" s="11">
        <f>G103*(1-0)</f>
        <v>0</v>
      </c>
      <c r="AQ103" s="12" t="s">
        <v>81</v>
      </c>
      <c r="AV103" s="11">
        <f>ROUND(AW103+AX103,2)</f>
        <v>0</v>
      </c>
      <c r="AW103" s="11">
        <f>ROUND(F103*AO103,2)</f>
        <v>0</v>
      </c>
      <c r="AX103" s="11">
        <f>ROUND(F103*AP103,2)</f>
        <v>0</v>
      </c>
      <c r="AY103" s="12" t="s">
        <v>318</v>
      </c>
      <c r="AZ103" s="12" t="s">
        <v>183</v>
      </c>
      <c r="BA103" s="6" t="s">
        <v>63</v>
      </c>
      <c r="BC103" s="11">
        <f>AW103+AX103</f>
        <v>0</v>
      </c>
      <c r="BD103" s="11">
        <f>G103/(100-BE103)*100</f>
        <v>0</v>
      </c>
      <c r="BE103" s="11">
        <v>0</v>
      </c>
      <c r="BF103" s="11">
        <f>103</f>
        <v>103</v>
      </c>
      <c r="BH103" s="11">
        <f>F103*AO103</f>
        <v>0</v>
      </c>
      <c r="BI103" s="11">
        <f>F103*AP103</f>
        <v>0</v>
      </c>
      <c r="BJ103" s="11">
        <f>F103*G103</f>
        <v>0</v>
      </c>
      <c r="BK103" s="12" t="s">
        <v>64</v>
      </c>
      <c r="BL103" s="11">
        <v>733</v>
      </c>
      <c r="BW103" s="11">
        <v>21</v>
      </c>
      <c r="BX103" s="3" t="s">
        <v>339</v>
      </c>
    </row>
    <row r="104" spans="1:76">
      <c r="A104" s="29" t="s">
        <v>340</v>
      </c>
      <c r="B104" s="2" t="s">
        <v>341</v>
      </c>
      <c r="C104" s="40" t="s">
        <v>342</v>
      </c>
      <c r="D104" s="38"/>
      <c r="E104" s="2" t="s">
        <v>127</v>
      </c>
      <c r="F104" s="11">
        <v>0.1736</v>
      </c>
      <c r="G104" s="109">
        <v>0</v>
      </c>
      <c r="H104" s="11">
        <f>ROUND(F104*AO104,2)</f>
        <v>0</v>
      </c>
      <c r="I104" s="11">
        <f>ROUND(F104*AP104,2)</f>
        <v>0</v>
      </c>
      <c r="J104" s="11">
        <f>ROUND(F104*G104,2)</f>
        <v>0</v>
      </c>
      <c r="K104" s="108" t="s">
        <v>111</v>
      </c>
      <c r="Z104" s="11">
        <f>ROUND(IF(AQ104="5",BJ104,0),2)</f>
        <v>0</v>
      </c>
      <c r="AB104" s="11">
        <f>ROUND(IF(AQ104="1",BH104,0),2)</f>
        <v>0</v>
      </c>
      <c r="AC104" s="11">
        <f>ROUND(IF(AQ104="1",BI104,0),2)</f>
        <v>0</v>
      </c>
      <c r="AD104" s="11">
        <f>ROUND(IF(AQ104="7",BH104,0),2)</f>
        <v>0</v>
      </c>
      <c r="AE104" s="11">
        <f>ROUND(IF(AQ104="7",BI104,0),2)</f>
        <v>0</v>
      </c>
      <c r="AF104" s="11">
        <f>ROUND(IF(AQ104="2",BH104,0),2)</f>
        <v>0</v>
      </c>
      <c r="AG104" s="11">
        <f>ROUND(IF(AQ104="2",BI104,0),2)</f>
        <v>0</v>
      </c>
      <c r="AH104" s="11">
        <f>ROUND(IF(AQ104="0",BJ104,0),2)</f>
        <v>0</v>
      </c>
      <c r="AI104" s="6" t="s">
        <v>56</v>
      </c>
      <c r="AJ104" s="11">
        <f>IF(AN104=0,J104,0)</f>
        <v>0</v>
      </c>
      <c r="AK104" s="11">
        <f>IF(AN104=12,J104,0)</f>
        <v>0</v>
      </c>
      <c r="AL104" s="11">
        <f>IF(AN104=21,J104,0)</f>
        <v>0</v>
      </c>
      <c r="AN104" s="11">
        <v>21</v>
      </c>
      <c r="AO104" s="11">
        <f>G104*0</f>
        <v>0</v>
      </c>
      <c r="AP104" s="11">
        <f>G104*(1-0)</f>
        <v>0</v>
      </c>
      <c r="AQ104" s="12" t="s">
        <v>74</v>
      </c>
      <c r="AV104" s="11">
        <f>ROUND(AW104+AX104,2)</f>
        <v>0</v>
      </c>
      <c r="AW104" s="11">
        <f>ROUND(F104*AO104,2)</f>
        <v>0</v>
      </c>
      <c r="AX104" s="11">
        <f>ROUND(F104*AP104,2)</f>
        <v>0</v>
      </c>
      <c r="AY104" s="12" t="s">
        <v>318</v>
      </c>
      <c r="AZ104" s="12" t="s">
        <v>183</v>
      </c>
      <c r="BA104" s="6" t="s">
        <v>63</v>
      </c>
      <c r="BC104" s="11">
        <f>AW104+AX104</f>
        <v>0</v>
      </c>
      <c r="BD104" s="11">
        <f>G104/(100-BE104)*100</f>
        <v>0</v>
      </c>
      <c r="BE104" s="11">
        <v>0</v>
      </c>
      <c r="BF104" s="11">
        <f>104</f>
        <v>104</v>
      </c>
      <c r="BH104" s="11">
        <f>F104*AO104</f>
        <v>0</v>
      </c>
      <c r="BI104" s="11">
        <f>F104*AP104</f>
        <v>0</v>
      </c>
      <c r="BJ104" s="11">
        <f>F104*G104</f>
        <v>0</v>
      </c>
      <c r="BK104" s="12" t="s">
        <v>64</v>
      </c>
      <c r="BL104" s="11">
        <v>733</v>
      </c>
      <c r="BW104" s="11">
        <v>21</v>
      </c>
      <c r="BX104" s="3" t="s">
        <v>342</v>
      </c>
    </row>
    <row r="105" spans="1:76">
      <c r="A105" s="29" t="s">
        <v>343</v>
      </c>
      <c r="B105" s="30" t="s">
        <v>344</v>
      </c>
      <c r="C105" s="105" t="s">
        <v>345</v>
      </c>
      <c r="D105" s="70"/>
      <c r="E105" s="30" t="s">
        <v>127</v>
      </c>
      <c r="F105" s="106">
        <v>0.1736</v>
      </c>
      <c r="G105" s="107">
        <v>0</v>
      </c>
      <c r="H105" s="106">
        <f>ROUND(F105*AO105,2)</f>
        <v>0</v>
      </c>
      <c r="I105" s="106">
        <f>ROUND(F105*AP105,2)</f>
        <v>0</v>
      </c>
      <c r="J105" s="106">
        <f>ROUND(F105*G105,2)</f>
        <v>0</v>
      </c>
      <c r="K105" s="108" t="s">
        <v>111</v>
      </c>
      <c r="Z105" s="11">
        <f>ROUND(IF(AQ105="5",BJ105,0),2)</f>
        <v>0</v>
      </c>
      <c r="AB105" s="11">
        <f>ROUND(IF(AQ105="1",BH105,0),2)</f>
        <v>0</v>
      </c>
      <c r="AC105" s="11">
        <f>ROUND(IF(AQ105="1",BI105,0),2)</f>
        <v>0</v>
      </c>
      <c r="AD105" s="11">
        <f>ROUND(IF(AQ105="7",BH105,0),2)</f>
        <v>0</v>
      </c>
      <c r="AE105" s="11">
        <f>ROUND(IF(AQ105="7",BI105,0),2)</f>
        <v>0</v>
      </c>
      <c r="AF105" s="11">
        <f>ROUND(IF(AQ105="2",BH105,0),2)</f>
        <v>0</v>
      </c>
      <c r="AG105" s="11">
        <f>ROUND(IF(AQ105="2",BI105,0),2)</f>
        <v>0</v>
      </c>
      <c r="AH105" s="11">
        <f>ROUND(IF(AQ105="0",BJ105,0),2)</f>
        <v>0</v>
      </c>
      <c r="AI105" s="6" t="s">
        <v>56</v>
      </c>
      <c r="AJ105" s="11">
        <f>IF(AN105=0,J105,0)</f>
        <v>0</v>
      </c>
      <c r="AK105" s="11">
        <f>IF(AN105=12,J105,0)</f>
        <v>0</v>
      </c>
      <c r="AL105" s="11">
        <f>IF(AN105=21,J105,0)</f>
        <v>0</v>
      </c>
      <c r="AN105" s="11">
        <v>21</v>
      </c>
      <c r="AO105" s="11">
        <f>G105*0</f>
        <v>0</v>
      </c>
      <c r="AP105" s="11">
        <f>G105*(1-0)</f>
        <v>0</v>
      </c>
      <c r="AQ105" s="12" t="s">
        <v>74</v>
      </c>
      <c r="AV105" s="11">
        <f>ROUND(AW105+AX105,2)</f>
        <v>0</v>
      </c>
      <c r="AW105" s="11">
        <f>ROUND(F105*AO105,2)</f>
        <v>0</v>
      </c>
      <c r="AX105" s="11">
        <f>ROUND(F105*AP105,2)</f>
        <v>0</v>
      </c>
      <c r="AY105" s="12" t="s">
        <v>318</v>
      </c>
      <c r="AZ105" s="12" t="s">
        <v>183</v>
      </c>
      <c r="BA105" s="6" t="s">
        <v>63</v>
      </c>
      <c r="BC105" s="11">
        <f>AW105+AX105</f>
        <v>0</v>
      </c>
      <c r="BD105" s="11">
        <f>G105/(100-BE105)*100</f>
        <v>0</v>
      </c>
      <c r="BE105" s="11">
        <v>0</v>
      </c>
      <c r="BF105" s="11">
        <f>105</f>
        <v>105</v>
      </c>
      <c r="BH105" s="11">
        <f>F105*AO105</f>
        <v>0</v>
      </c>
      <c r="BI105" s="11">
        <f>F105*AP105</f>
        <v>0</v>
      </c>
      <c r="BJ105" s="11">
        <f>F105*G105</f>
        <v>0</v>
      </c>
      <c r="BK105" s="12" t="s">
        <v>64</v>
      </c>
      <c r="BL105" s="11">
        <v>733</v>
      </c>
      <c r="BW105" s="11">
        <v>21</v>
      </c>
      <c r="BX105" s="3" t="s">
        <v>345</v>
      </c>
    </row>
    <row r="106" spans="1:76">
      <c r="A106" s="13" t="s">
        <v>52</v>
      </c>
      <c r="B106" s="100" t="s">
        <v>346</v>
      </c>
      <c r="C106" s="101" t="s">
        <v>347</v>
      </c>
      <c r="D106" s="102"/>
      <c r="E106" s="103" t="s">
        <v>4</v>
      </c>
      <c r="F106" s="103" t="s">
        <v>4</v>
      </c>
      <c r="G106" s="97" t="s">
        <v>4</v>
      </c>
      <c r="H106" s="104">
        <f>SUM(H107:H117)</f>
        <v>0</v>
      </c>
      <c r="I106" s="104">
        <f>SUM(I107:I117)</f>
        <v>0</v>
      </c>
      <c r="J106" s="104">
        <f>SUM(J107:J117)</f>
        <v>0</v>
      </c>
      <c r="K106" s="14" t="s">
        <v>52</v>
      </c>
      <c r="AI106" s="6" t="s">
        <v>56</v>
      </c>
      <c r="AS106" s="1">
        <f>SUM(AJ107:AJ117)</f>
        <v>0</v>
      </c>
      <c r="AT106" s="1">
        <f>SUM(AK107:AK117)</f>
        <v>0</v>
      </c>
      <c r="AU106" s="1">
        <f>SUM(AL107:AL117)</f>
        <v>0</v>
      </c>
    </row>
    <row r="107" spans="1:76">
      <c r="A107" s="29" t="s">
        <v>348</v>
      </c>
      <c r="B107" s="30" t="s">
        <v>349</v>
      </c>
      <c r="C107" s="105" t="s">
        <v>350</v>
      </c>
      <c r="D107" s="70"/>
      <c r="E107" s="30" t="s">
        <v>60</v>
      </c>
      <c r="F107" s="106">
        <v>4</v>
      </c>
      <c r="G107" s="107">
        <v>0</v>
      </c>
      <c r="H107" s="106">
        <f>ROUND(F107*AO107,2)</f>
        <v>0</v>
      </c>
      <c r="I107" s="106">
        <f>ROUND(F107*AP107,2)</f>
        <v>0</v>
      </c>
      <c r="J107" s="106">
        <f>ROUND(F107*G107,2)</f>
        <v>0</v>
      </c>
      <c r="K107" s="108" t="s">
        <v>111</v>
      </c>
      <c r="Z107" s="11">
        <f>ROUND(IF(AQ107="5",BJ107,0),2)</f>
        <v>0</v>
      </c>
      <c r="AB107" s="11">
        <f>ROUND(IF(AQ107="1",BH107,0),2)</f>
        <v>0</v>
      </c>
      <c r="AC107" s="11">
        <f>ROUND(IF(AQ107="1",BI107,0),2)</f>
        <v>0</v>
      </c>
      <c r="AD107" s="11">
        <f>ROUND(IF(AQ107="7",BH107,0),2)</f>
        <v>0</v>
      </c>
      <c r="AE107" s="11">
        <f>ROUND(IF(AQ107="7",BI107,0),2)</f>
        <v>0</v>
      </c>
      <c r="AF107" s="11">
        <f>ROUND(IF(AQ107="2",BH107,0),2)</f>
        <v>0</v>
      </c>
      <c r="AG107" s="11">
        <f>ROUND(IF(AQ107="2",BI107,0),2)</f>
        <v>0</v>
      </c>
      <c r="AH107" s="11">
        <f>ROUND(IF(AQ107="0",BJ107,0),2)</f>
        <v>0</v>
      </c>
      <c r="AI107" s="6" t="s">
        <v>56</v>
      </c>
      <c r="AJ107" s="11">
        <f>IF(AN107=0,J107,0)</f>
        <v>0</v>
      </c>
      <c r="AK107" s="11">
        <f>IF(AN107=12,J107,0)</f>
        <v>0</v>
      </c>
      <c r="AL107" s="11">
        <f>IF(AN107=21,J107,0)</f>
        <v>0</v>
      </c>
      <c r="AN107" s="11">
        <v>21</v>
      </c>
      <c r="AO107" s="11">
        <f>G107*0.900254606</f>
        <v>0</v>
      </c>
      <c r="AP107" s="11">
        <f>G107*(1-0.900254606)</f>
        <v>0</v>
      </c>
      <c r="AQ107" s="12" t="s">
        <v>81</v>
      </c>
      <c r="AV107" s="11">
        <f>ROUND(AW107+AX107,2)</f>
        <v>0</v>
      </c>
      <c r="AW107" s="11">
        <f>ROUND(F107*AO107,2)</f>
        <v>0</v>
      </c>
      <c r="AX107" s="11">
        <f>ROUND(F107*AP107,2)</f>
        <v>0</v>
      </c>
      <c r="AY107" s="12" t="s">
        <v>351</v>
      </c>
      <c r="AZ107" s="12" t="s">
        <v>183</v>
      </c>
      <c r="BA107" s="6" t="s">
        <v>63</v>
      </c>
      <c r="BC107" s="11">
        <f>AW107+AX107</f>
        <v>0</v>
      </c>
      <c r="BD107" s="11">
        <f>G107/(100-BE107)*100</f>
        <v>0</v>
      </c>
      <c r="BE107" s="11">
        <v>0</v>
      </c>
      <c r="BF107" s="11">
        <f>107</f>
        <v>107</v>
      </c>
      <c r="BH107" s="11">
        <f>F107*AO107</f>
        <v>0</v>
      </c>
      <c r="BI107" s="11">
        <f>F107*AP107</f>
        <v>0</v>
      </c>
      <c r="BJ107" s="11">
        <f>F107*G107</f>
        <v>0</v>
      </c>
      <c r="BK107" s="12" t="s">
        <v>64</v>
      </c>
      <c r="BL107" s="11">
        <v>734</v>
      </c>
      <c r="BW107" s="11">
        <v>21</v>
      </c>
      <c r="BX107" s="3" t="s">
        <v>350</v>
      </c>
    </row>
    <row r="108" spans="1:76">
      <c r="A108" s="29" t="s">
        <v>352</v>
      </c>
      <c r="B108" s="2" t="s">
        <v>353</v>
      </c>
      <c r="C108" s="40" t="s">
        <v>354</v>
      </c>
      <c r="D108" s="38"/>
      <c r="E108" s="2" t="s">
        <v>60</v>
      </c>
      <c r="F108" s="11">
        <v>2</v>
      </c>
      <c r="G108" s="109">
        <v>0</v>
      </c>
      <c r="H108" s="11">
        <f>ROUND(F108*AO108,2)</f>
        <v>0</v>
      </c>
      <c r="I108" s="11">
        <f>ROUND(F108*AP108,2)</f>
        <v>0</v>
      </c>
      <c r="J108" s="11">
        <f>ROUND(F108*G108,2)</f>
        <v>0</v>
      </c>
      <c r="K108" s="108" t="s">
        <v>111</v>
      </c>
      <c r="Z108" s="11">
        <f>ROUND(IF(AQ108="5",BJ108,0),2)</f>
        <v>0</v>
      </c>
      <c r="AB108" s="11">
        <f>ROUND(IF(AQ108="1",BH108,0),2)</f>
        <v>0</v>
      </c>
      <c r="AC108" s="11">
        <f>ROUND(IF(AQ108="1",BI108,0),2)</f>
        <v>0</v>
      </c>
      <c r="AD108" s="11">
        <f>ROUND(IF(AQ108="7",BH108,0),2)</f>
        <v>0</v>
      </c>
      <c r="AE108" s="11">
        <f>ROUND(IF(AQ108="7",BI108,0),2)</f>
        <v>0</v>
      </c>
      <c r="AF108" s="11">
        <f>ROUND(IF(AQ108="2",BH108,0),2)</f>
        <v>0</v>
      </c>
      <c r="AG108" s="11">
        <f>ROUND(IF(AQ108="2",BI108,0),2)</f>
        <v>0</v>
      </c>
      <c r="AH108" s="11">
        <f>ROUND(IF(AQ108="0",BJ108,0),2)</f>
        <v>0</v>
      </c>
      <c r="AI108" s="6" t="s">
        <v>56</v>
      </c>
      <c r="AJ108" s="11">
        <f>IF(AN108=0,J108,0)</f>
        <v>0</v>
      </c>
      <c r="AK108" s="11">
        <f>IF(AN108=12,J108,0)</f>
        <v>0</v>
      </c>
      <c r="AL108" s="11">
        <f>IF(AN108=21,J108,0)</f>
        <v>0</v>
      </c>
      <c r="AN108" s="11">
        <v>21</v>
      </c>
      <c r="AO108" s="11">
        <f>G108*0.811795196</f>
        <v>0</v>
      </c>
      <c r="AP108" s="11">
        <f>G108*(1-0.811795196)</f>
        <v>0</v>
      </c>
      <c r="AQ108" s="12" t="s">
        <v>81</v>
      </c>
      <c r="AV108" s="11">
        <f>ROUND(AW108+AX108,2)</f>
        <v>0</v>
      </c>
      <c r="AW108" s="11">
        <f>ROUND(F108*AO108,2)</f>
        <v>0</v>
      </c>
      <c r="AX108" s="11">
        <f>ROUND(F108*AP108,2)</f>
        <v>0</v>
      </c>
      <c r="AY108" s="12" t="s">
        <v>351</v>
      </c>
      <c r="AZ108" s="12" t="s">
        <v>183</v>
      </c>
      <c r="BA108" s="6" t="s">
        <v>63</v>
      </c>
      <c r="BC108" s="11">
        <f>AW108+AX108</f>
        <v>0</v>
      </c>
      <c r="BD108" s="11">
        <f>G108/(100-BE108)*100</f>
        <v>0</v>
      </c>
      <c r="BE108" s="11">
        <v>0</v>
      </c>
      <c r="BF108" s="11">
        <f>108</f>
        <v>108</v>
      </c>
      <c r="BH108" s="11">
        <f>F108*AO108</f>
        <v>0</v>
      </c>
      <c r="BI108" s="11">
        <f>F108*AP108</f>
        <v>0</v>
      </c>
      <c r="BJ108" s="11">
        <f>F108*G108</f>
        <v>0</v>
      </c>
      <c r="BK108" s="12" t="s">
        <v>64</v>
      </c>
      <c r="BL108" s="11">
        <v>734</v>
      </c>
      <c r="BW108" s="11">
        <v>21</v>
      </c>
      <c r="BX108" s="3" t="s">
        <v>354</v>
      </c>
    </row>
    <row r="109" spans="1:76">
      <c r="A109" s="29" t="s">
        <v>355</v>
      </c>
      <c r="B109" s="2" t="s">
        <v>356</v>
      </c>
      <c r="C109" s="40" t="s">
        <v>357</v>
      </c>
      <c r="D109" s="38"/>
      <c r="E109" s="2" t="s">
        <v>60</v>
      </c>
      <c r="F109" s="11">
        <v>11</v>
      </c>
      <c r="G109" s="109">
        <v>0</v>
      </c>
      <c r="H109" s="11">
        <f>ROUND(F109*AO109,2)</f>
        <v>0</v>
      </c>
      <c r="I109" s="11">
        <f>ROUND(F109*AP109,2)</f>
        <v>0</v>
      </c>
      <c r="J109" s="11">
        <f>ROUND(F109*G109,2)</f>
        <v>0</v>
      </c>
      <c r="K109" s="108" t="s">
        <v>111</v>
      </c>
      <c r="Z109" s="11">
        <f>ROUND(IF(AQ109="5",BJ109,0),2)</f>
        <v>0</v>
      </c>
      <c r="AB109" s="11">
        <f>ROUND(IF(AQ109="1",BH109,0),2)</f>
        <v>0</v>
      </c>
      <c r="AC109" s="11">
        <f>ROUND(IF(AQ109="1",BI109,0),2)</f>
        <v>0</v>
      </c>
      <c r="AD109" s="11">
        <f>ROUND(IF(AQ109="7",BH109,0),2)</f>
        <v>0</v>
      </c>
      <c r="AE109" s="11">
        <f>ROUND(IF(AQ109="7",BI109,0),2)</f>
        <v>0</v>
      </c>
      <c r="AF109" s="11">
        <f>ROUND(IF(AQ109="2",BH109,0),2)</f>
        <v>0</v>
      </c>
      <c r="AG109" s="11">
        <f>ROUND(IF(AQ109="2",BI109,0),2)</f>
        <v>0</v>
      </c>
      <c r="AH109" s="11">
        <f>ROUND(IF(AQ109="0",BJ109,0),2)</f>
        <v>0</v>
      </c>
      <c r="AI109" s="6" t="s">
        <v>56</v>
      </c>
      <c r="AJ109" s="11">
        <f>IF(AN109=0,J109,0)</f>
        <v>0</v>
      </c>
      <c r="AK109" s="11">
        <f>IF(AN109=12,J109,0)</f>
        <v>0</v>
      </c>
      <c r="AL109" s="11">
        <f>IF(AN109=21,J109,0)</f>
        <v>0</v>
      </c>
      <c r="AN109" s="11">
        <v>21</v>
      </c>
      <c r="AO109" s="11">
        <f>G109*0.232376396</f>
        <v>0</v>
      </c>
      <c r="AP109" s="11">
        <f>G109*(1-0.232376396)</f>
        <v>0</v>
      </c>
      <c r="AQ109" s="12" t="s">
        <v>81</v>
      </c>
      <c r="AV109" s="11">
        <f>ROUND(AW109+AX109,2)</f>
        <v>0</v>
      </c>
      <c r="AW109" s="11">
        <f>ROUND(F109*AO109,2)</f>
        <v>0</v>
      </c>
      <c r="AX109" s="11">
        <f>ROUND(F109*AP109,2)</f>
        <v>0</v>
      </c>
      <c r="AY109" s="12" t="s">
        <v>351</v>
      </c>
      <c r="AZ109" s="12" t="s">
        <v>183</v>
      </c>
      <c r="BA109" s="6" t="s">
        <v>63</v>
      </c>
      <c r="BC109" s="11">
        <f>AW109+AX109</f>
        <v>0</v>
      </c>
      <c r="BD109" s="11">
        <f>G109/(100-BE109)*100</f>
        <v>0</v>
      </c>
      <c r="BE109" s="11">
        <v>0</v>
      </c>
      <c r="BF109" s="11">
        <f>109</f>
        <v>109</v>
      </c>
      <c r="BH109" s="11">
        <f>F109*AO109</f>
        <v>0</v>
      </c>
      <c r="BI109" s="11">
        <f>F109*AP109</f>
        <v>0</v>
      </c>
      <c r="BJ109" s="11">
        <f>F109*G109</f>
        <v>0</v>
      </c>
      <c r="BK109" s="12" t="s">
        <v>64</v>
      </c>
      <c r="BL109" s="11">
        <v>734</v>
      </c>
      <c r="BW109" s="11">
        <v>21</v>
      </c>
      <c r="BX109" s="3" t="s">
        <v>357</v>
      </c>
    </row>
    <row r="110" spans="1:76">
      <c r="A110" s="29" t="s">
        <v>358</v>
      </c>
      <c r="B110" s="2" t="s">
        <v>359</v>
      </c>
      <c r="C110" s="40" t="s">
        <v>360</v>
      </c>
      <c r="D110" s="38"/>
      <c r="E110" s="2" t="s">
        <v>60</v>
      </c>
      <c r="F110" s="11">
        <v>2</v>
      </c>
      <c r="G110" s="109">
        <v>0</v>
      </c>
      <c r="H110" s="11">
        <f>ROUND(F110*AO110,2)</f>
        <v>0</v>
      </c>
      <c r="I110" s="11">
        <f>ROUND(F110*AP110,2)</f>
        <v>0</v>
      </c>
      <c r="J110" s="11">
        <f>ROUND(F110*G110,2)</f>
        <v>0</v>
      </c>
      <c r="K110" s="108" t="s">
        <v>111</v>
      </c>
      <c r="Z110" s="11">
        <f>ROUND(IF(AQ110="5",BJ110,0),2)</f>
        <v>0</v>
      </c>
      <c r="AB110" s="11">
        <f>ROUND(IF(AQ110="1",BH110,0),2)</f>
        <v>0</v>
      </c>
      <c r="AC110" s="11">
        <f>ROUND(IF(AQ110="1",BI110,0),2)</f>
        <v>0</v>
      </c>
      <c r="AD110" s="11">
        <f>ROUND(IF(AQ110="7",BH110,0),2)</f>
        <v>0</v>
      </c>
      <c r="AE110" s="11">
        <f>ROUND(IF(AQ110="7",BI110,0),2)</f>
        <v>0</v>
      </c>
      <c r="AF110" s="11">
        <f>ROUND(IF(AQ110="2",BH110,0),2)</f>
        <v>0</v>
      </c>
      <c r="AG110" s="11">
        <f>ROUND(IF(AQ110="2",BI110,0),2)</f>
        <v>0</v>
      </c>
      <c r="AH110" s="11">
        <f>ROUND(IF(AQ110="0",BJ110,0),2)</f>
        <v>0</v>
      </c>
      <c r="AI110" s="6" t="s">
        <v>56</v>
      </c>
      <c r="AJ110" s="11">
        <f>IF(AN110=0,J110,0)</f>
        <v>0</v>
      </c>
      <c r="AK110" s="11">
        <f>IF(AN110=12,J110,0)</f>
        <v>0</v>
      </c>
      <c r="AL110" s="11">
        <f>IF(AN110=21,J110,0)</f>
        <v>0</v>
      </c>
      <c r="AN110" s="11">
        <v>21</v>
      </c>
      <c r="AO110" s="11">
        <f>G110*0.845650596</f>
        <v>0</v>
      </c>
      <c r="AP110" s="11">
        <f>G110*(1-0.845650596)</f>
        <v>0</v>
      </c>
      <c r="AQ110" s="12" t="s">
        <v>81</v>
      </c>
      <c r="AV110" s="11">
        <f>ROUND(AW110+AX110,2)</f>
        <v>0</v>
      </c>
      <c r="AW110" s="11">
        <f>ROUND(F110*AO110,2)</f>
        <v>0</v>
      </c>
      <c r="AX110" s="11">
        <f>ROUND(F110*AP110,2)</f>
        <v>0</v>
      </c>
      <c r="AY110" s="12" t="s">
        <v>351</v>
      </c>
      <c r="AZ110" s="12" t="s">
        <v>183</v>
      </c>
      <c r="BA110" s="6" t="s">
        <v>63</v>
      </c>
      <c r="BC110" s="11">
        <f>AW110+AX110</f>
        <v>0</v>
      </c>
      <c r="BD110" s="11">
        <f>G110/(100-BE110)*100</f>
        <v>0</v>
      </c>
      <c r="BE110" s="11">
        <v>0</v>
      </c>
      <c r="BF110" s="11">
        <f>110</f>
        <v>110</v>
      </c>
      <c r="BH110" s="11">
        <f>F110*AO110</f>
        <v>0</v>
      </c>
      <c r="BI110" s="11">
        <f>F110*AP110</f>
        <v>0</v>
      </c>
      <c r="BJ110" s="11">
        <f>F110*G110</f>
        <v>0</v>
      </c>
      <c r="BK110" s="12" t="s">
        <v>64</v>
      </c>
      <c r="BL110" s="11">
        <v>734</v>
      </c>
      <c r="BW110" s="11">
        <v>21</v>
      </c>
      <c r="BX110" s="3" t="s">
        <v>360</v>
      </c>
    </row>
    <row r="111" spans="1:76">
      <c r="A111" s="29" t="s">
        <v>361</v>
      </c>
      <c r="B111" s="2" t="s">
        <v>362</v>
      </c>
      <c r="C111" s="40" t="s">
        <v>363</v>
      </c>
      <c r="D111" s="38"/>
      <c r="E111" s="2" t="s">
        <v>60</v>
      </c>
      <c r="F111" s="11">
        <v>3</v>
      </c>
      <c r="G111" s="109">
        <v>0</v>
      </c>
      <c r="H111" s="11">
        <f>ROUND(F111*AO111,2)</f>
        <v>0</v>
      </c>
      <c r="I111" s="11">
        <f>ROUND(F111*AP111,2)</f>
        <v>0</v>
      </c>
      <c r="J111" s="11">
        <f>ROUND(F111*G111,2)</f>
        <v>0</v>
      </c>
      <c r="K111" s="108" t="s">
        <v>111</v>
      </c>
      <c r="Z111" s="11">
        <f>ROUND(IF(AQ111="5",BJ111,0),2)</f>
        <v>0</v>
      </c>
      <c r="AB111" s="11">
        <f>ROUND(IF(AQ111="1",BH111,0),2)</f>
        <v>0</v>
      </c>
      <c r="AC111" s="11">
        <f>ROUND(IF(AQ111="1",BI111,0),2)</f>
        <v>0</v>
      </c>
      <c r="AD111" s="11">
        <f>ROUND(IF(AQ111="7",BH111,0),2)</f>
        <v>0</v>
      </c>
      <c r="AE111" s="11">
        <f>ROUND(IF(AQ111="7",BI111,0),2)</f>
        <v>0</v>
      </c>
      <c r="AF111" s="11">
        <f>ROUND(IF(AQ111="2",BH111,0),2)</f>
        <v>0</v>
      </c>
      <c r="AG111" s="11">
        <f>ROUND(IF(AQ111="2",BI111,0),2)</f>
        <v>0</v>
      </c>
      <c r="AH111" s="11">
        <f>ROUND(IF(AQ111="0",BJ111,0),2)</f>
        <v>0</v>
      </c>
      <c r="AI111" s="6" t="s">
        <v>56</v>
      </c>
      <c r="AJ111" s="11">
        <f>IF(AN111=0,J111,0)</f>
        <v>0</v>
      </c>
      <c r="AK111" s="11">
        <f>IF(AN111=12,J111,0)</f>
        <v>0</v>
      </c>
      <c r="AL111" s="11">
        <f>IF(AN111=21,J111,0)</f>
        <v>0</v>
      </c>
      <c r="AN111" s="11">
        <v>21</v>
      </c>
      <c r="AO111" s="11">
        <f>G111*0.649733656</f>
        <v>0</v>
      </c>
      <c r="AP111" s="11">
        <f>G111*(1-0.649733656)</f>
        <v>0</v>
      </c>
      <c r="AQ111" s="12" t="s">
        <v>81</v>
      </c>
      <c r="AV111" s="11">
        <f>ROUND(AW111+AX111,2)</f>
        <v>0</v>
      </c>
      <c r="AW111" s="11">
        <f>ROUND(F111*AO111,2)</f>
        <v>0</v>
      </c>
      <c r="AX111" s="11">
        <f>ROUND(F111*AP111,2)</f>
        <v>0</v>
      </c>
      <c r="AY111" s="12" t="s">
        <v>351</v>
      </c>
      <c r="AZ111" s="12" t="s">
        <v>183</v>
      </c>
      <c r="BA111" s="6" t="s">
        <v>63</v>
      </c>
      <c r="BC111" s="11">
        <f>AW111+AX111</f>
        <v>0</v>
      </c>
      <c r="BD111" s="11">
        <f>G111/(100-BE111)*100</f>
        <v>0</v>
      </c>
      <c r="BE111" s="11">
        <v>0</v>
      </c>
      <c r="BF111" s="11">
        <f>111</f>
        <v>111</v>
      </c>
      <c r="BH111" s="11">
        <f>F111*AO111</f>
        <v>0</v>
      </c>
      <c r="BI111" s="11">
        <f>F111*AP111</f>
        <v>0</v>
      </c>
      <c r="BJ111" s="11">
        <f>F111*G111</f>
        <v>0</v>
      </c>
      <c r="BK111" s="12" t="s">
        <v>64</v>
      </c>
      <c r="BL111" s="11">
        <v>734</v>
      </c>
      <c r="BW111" s="11">
        <v>21</v>
      </c>
      <c r="BX111" s="3" t="s">
        <v>363</v>
      </c>
    </row>
    <row r="112" spans="1:76">
      <c r="A112" s="29" t="s">
        <v>364</v>
      </c>
      <c r="B112" s="2" t="s">
        <v>365</v>
      </c>
      <c r="C112" s="40" t="s">
        <v>366</v>
      </c>
      <c r="D112" s="38"/>
      <c r="E112" s="2" t="s">
        <v>60</v>
      </c>
      <c r="F112" s="11">
        <v>2</v>
      </c>
      <c r="G112" s="109">
        <v>0</v>
      </c>
      <c r="H112" s="11">
        <f>ROUND(F112*AO112,2)</f>
        <v>0</v>
      </c>
      <c r="I112" s="11">
        <f>ROUND(F112*AP112,2)</f>
        <v>0</v>
      </c>
      <c r="J112" s="11">
        <f>ROUND(F112*G112,2)</f>
        <v>0</v>
      </c>
      <c r="K112" s="108" t="s">
        <v>111</v>
      </c>
      <c r="Z112" s="11">
        <f>ROUND(IF(AQ112="5",BJ112,0),2)</f>
        <v>0</v>
      </c>
      <c r="AB112" s="11">
        <f>ROUND(IF(AQ112="1",BH112,0),2)</f>
        <v>0</v>
      </c>
      <c r="AC112" s="11">
        <f>ROUND(IF(AQ112="1",BI112,0),2)</f>
        <v>0</v>
      </c>
      <c r="AD112" s="11">
        <f>ROUND(IF(AQ112="7",BH112,0),2)</f>
        <v>0</v>
      </c>
      <c r="AE112" s="11">
        <f>ROUND(IF(AQ112="7",BI112,0),2)</f>
        <v>0</v>
      </c>
      <c r="AF112" s="11">
        <f>ROUND(IF(AQ112="2",BH112,0),2)</f>
        <v>0</v>
      </c>
      <c r="AG112" s="11">
        <f>ROUND(IF(AQ112="2",BI112,0),2)</f>
        <v>0</v>
      </c>
      <c r="AH112" s="11">
        <f>ROUND(IF(AQ112="0",BJ112,0),2)</f>
        <v>0</v>
      </c>
      <c r="AI112" s="6" t="s">
        <v>56</v>
      </c>
      <c r="AJ112" s="11">
        <f>IF(AN112=0,J112,0)</f>
        <v>0</v>
      </c>
      <c r="AK112" s="11">
        <f>IF(AN112=12,J112,0)</f>
        <v>0</v>
      </c>
      <c r="AL112" s="11">
        <f>IF(AN112=21,J112,0)</f>
        <v>0</v>
      </c>
      <c r="AN112" s="11">
        <v>21</v>
      </c>
      <c r="AO112" s="11">
        <f>G112*0.866783264</f>
        <v>0</v>
      </c>
      <c r="AP112" s="11">
        <f>G112*(1-0.866783264)</f>
        <v>0</v>
      </c>
      <c r="AQ112" s="12" t="s">
        <v>81</v>
      </c>
      <c r="AV112" s="11">
        <f>ROUND(AW112+AX112,2)</f>
        <v>0</v>
      </c>
      <c r="AW112" s="11">
        <f>ROUND(F112*AO112,2)</f>
        <v>0</v>
      </c>
      <c r="AX112" s="11">
        <f>ROUND(F112*AP112,2)</f>
        <v>0</v>
      </c>
      <c r="AY112" s="12" t="s">
        <v>351</v>
      </c>
      <c r="AZ112" s="12" t="s">
        <v>183</v>
      </c>
      <c r="BA112" s="6" t="s">
        <v>63</v>
      </c>
      <c r="BC112" s="11">
        <f>AW112+AX112</f>
        <v>0</v>
      </c>
      <c r="BD112" s="11">
        <f>G112/(100-BE112)*100</f>
        <v>0</v>
      </c>
      <c r="BE112" s="11">
        <v>0</v>
      </c>
      <c r="BF112" s="11">
        <f>112</f>
        <v>112</v>
      </c>
      <c r="BH112" s="11">
        <f>F112*AO112</f>
        <v>0</v>
      </c>
      <c r="BI112" s="11">
        <f>F112*AP112</f>
        <v>0</v>
      </c>
      <c r="BJ112" s="11">
        <f>F112*G112</f>
        <v>0</v>
      </c>
      <c r="BK112" s="12" t="s">
        <v>64</v>
      </c>
      <c r="BL112" s="11">
        <v>734</v>
      </c>
      <c r="BW112" s="11">
        <v>21</v>
      </c>
      <c r="BX112" s="3" t="s">
        <v>366</v>
      </c>
    </row>
    <row r="113" spans="1:76">
      <c r="A113" s="29" t="s">
        <v>367</v>
      </c>
      <c r="B113" s="2" t="s">
        <v>368</v>
      </c>
      <c r="C113" s="40" t="s">
        <v>369</v>
      </c>
      <c r="D113" s="38"/>
      <c r="E113" s="2" t="s">
        <v>60</v>
      </c>
      <c r="F113" s="11">
        <v>2</v>
      </c>
      <c r="G113" s="109">
        <v>0</v>
      </c>
      <c r="H113" s="11">
        <f>ROUND(F113*AO113,2)</f>
        <v>0</v>
      </c>
      <c r="I113" s="11">
        <f>ROUND(F113*AP113,2)</f>
        <v>0</v>
      </c>
      <c r="J113" s="11">
        <f>ROUND(F113*G113,2)</f>
        <v>0</v>
      </c>
      <c r="K113" s="108" t="s">
        <v>111</v>
      </c>
      <c r="Z113" s="11">
        <f>ROUND(IF(AQ113="5",BJ113,0),2)</f>
        <v>0</v>
      </c>
      <c r="AB113" s="11">
        <f>ROUND(IF(AQ113="1",BH113,0),2)</f>
        <v>0</v>
      </c>
      <c r="AC113" s="11">
        <f>ROUND(IF(AQ113="1",BI113,0),2)</f>
        <v>0</v>
      </c>
      <c r="AD113" s="11">
        <f>ROUND(IF(AQ113="7",BH113,0),2)</f>
        <v>0</v>
      </c>
      <c r="AE113" s="11">
        <f>ROUND(IF(AQ113="7",BI113,0),2)</f>
        <v>0</v>
      </c>
      <c r="AF113" s="11">
        <f>ROUND(IF(AQ113="2",BH113,0),2)</f>
        <v>0</v>
      </c>
      <c r="AG113" s="11">
        <f>ROUND(IF(AQ113="2",BI113,0),2)</f>
        <v>0</v>
      </c>
      <c r="AH113" s="11">
        <f>ROUND(IF(AQ113="0",BJ113,0),2)</f>
        <v>0</v>
      </c>
      <c r="AI113" s="6" t="s">
        <v>56</v>
      </c>
      <c r="AJ113" s="11">
        <f>IF(AN113=0,J113,0)</f>
        <v>0</v>
      </c>
      <c r="AK113" s="11">
        <f>IF(AN113=12,J113,0)</f>
        <v>0</v>
      </c>
      <c r="AL113" s="11">
        <f>IF(AN113=21,J113,0)</f>
        <v>0</v>
      </c>
      <c r="AN113" s="11">
        <v>21</v>
      </c>
      <c r="AO113" s="11">
        <f>G113*0.230134357</f>
        <v>0</v>
      </c>
      <c r="AP113" s="11">
        <f>G113*(1-0.230134357)</f>
        <v>0</v>
      </c>
      <c r="AQ113" s="12" t="s">
        <v>81</v>
      </c>
      <c r="AV113" s="11">
        <f>ROUND(AW113+AX113,2)</f>
        <v>0</v>
      </c>
      <c r="AW113" s="11">
        <f>ROUND(F113*AO113,2)</f>
        <v>0</v>
      </c>
      <c r="AX113" s="11">
        <f>ROUND(F113*AP113,2)</f>
        <v>0</v>
      </c>
      <c r="AY113" s="12" t="s">
        <v>351</v>
      </c>
      <c r="AZ113" s="12" t="s">
        <v>183</v>
      </c>
      <c r="BA113" s="6" t="s">
        <v>63</v>
      </c>
      <c r="BC113" s="11">
        <f>AW113+AX113</f>
        <v>0</v>
      </c>
      <c r="BD113" s="11">
        <f>G113/(100-BE113)*100</f>
        <v>0</v>
      </c>
      <c r="BE113" s="11">
        <v>0</v>
      </c>
      <c r="BF113" s="11">
        <f>113</f>
        <v>113</v>
      </c>
      <c r="BH113" s="11">
        <f>F113*AO113</f>
        <v>0</v>
      </c>
      <c r="BI113" s="11">
        <f>F113*AP113</f>
        <v>0</v>
      </c>
      <c r="BJ113" s="11">
        <f>F113*G113</f>
        <v>0</v>
      </c>
      <c r="BK113" s="12" t="s">
        <v>64</v>
      </c>
      <c r="BL113" s="11">
        <v>734</v>
      </c>
      <c r="BW113" s="11">
        <v>21</v>
      </c>
      <c r="BX113" s="3" t="s">
        <v>369</v>
      </c>
    </row>
    <row r="114" spans="1:76">
      <c r="A114" s="29" t="s">
        <v>370</v>
      </c>
      <c r="B114" s="2" t="s">
        <v>371</v>
      </c>
      <c r="C114" s="40" t="s">
        <v>372</v>
      </c>
      <c r="D114" s="38"/>
      <c r="E114" s="2" t="s">
        <v>60</v>
      </c>
      <c r="F114" s="11">
        <v>1</v>
      </c>
      <c r="G114" s="109">
        <v>0</v>
      </c>
      <c r="H114" s="11">
        <f>ROUND(F114*AO114,2)</f>
        <v>0</v>
      </c>
      <c r="I114" s="11">
        <f>ROUND(F114*AP114,2)</f>
        <v>0</v>
      </c>
      <c r="J114" s="11">
        <f>ROUND(F114*G114,2)</f>
        <v>0</v>
      </c>
      <c r="K114" s="108" t="s">
        <v>373</v>
      </c>
      <c r="Z114" s="11">
        <f>ROUND(IF(AQ114="5",BJ114,0),2)</f>
        <v>0</v>
      </c>
      <c r="AB114" s="11">
        <f>ROUND(IF(AQ114="1",BH114,0),2)</f>
        <v>0</v>
      </c>
      <c r="AC114" s="11">
        <f>ROUND(IF(AQ114="1",BI114,0),2)</f>
        <v>0</v>
      </c>
      <c r="AD114" s="11">
        <f>ROUND(IF(AQ114="7",BH114,0),2)</f>
        <v>0</v>
      </c>
      <c r="AE114" s="11">
        <f>ROUND(IF(AQ114="7",BI114,0),2)</f>
        <v>0</v>
      </c>
      <c r="AF114" s="11">
        <f>ROUND(IF(AQ114="2",BH114,0),2)</f>
        <v>0</v>
      </c>
      <c r="AG114" s="11">
        <f>ROUND(IF(AQ114="2",BI114,0),2)</f>
        <v>0</v>
      </c>
      <c r="AH114" s="11">
        <f>ROUND(IF(AQ114="0",BJ114,0),2)</f>
        <v>0</v>
      </c>
      <c r="AI114" s="6" t="s">
        <v>56</v>
      </c>
      <c r="AJ114" s="11">
        <f>IF(AN114=0,J114,0)</f>
        <v>0</v>
      </c>
      <c r="AK114" s="11">
        <f>IF(AN114=12,J114,0)</f>
        <v>0</v>
      </c>
      <c r="AL114" s="11">
        <f>IF(AN114=21,J114,0)</f>
        <v>0</v>
      </c>
      <c r="AN114" s="11">
        <v>21</v>
      </c>
      <c r="AO114" s="11">
        <f>G114*0.93812751</f>
        <v>0</v>
      </c>
      <c r="AP114" s="11">
        <f>G114*(1-0.93812751)</f>
        <v>0</v>
      </c>
      <c r="AQ114" s="12" t="s">
        <v>81</v>
      </c>
      <c r="AV114" s="11">
        <f>ROUND(AW114+AX114,2)</f>
        <v>0</v>
      </c>
      <c r="AW114" s="11">
        <f>ROUND(F114*AO114,2)</f>
        <v>0</v>
      </c>
      <c r="AX114" s="11">
        <f>ROUND(F114*AP114,2)</f>
        <v>0</v>
      </c>
      <c r="AY114" s="12" t="s">
        <v>351</v>
      </c>
      <c r="AZ114" s="12" t="s">
        <v>183</v>
      </c>
      <c r="BA114" s="6" t="s">
        <v>63</v>
      </c>
      <c r="BC114" s="11">
        <f>AW114+AX114</f>
        <v>0</v>
      </c>
      <c r="BD114" s="11">
        <f>G114/(100-BE114)*100</f>
        <v>0</v>
      </c>
      <c r="BE114" s="11">
        <v>0</v>
      </c>
      <c r="BF114" s="11">
        <f>114</f>
        <v>114</v>
      </c>
      <c r="BH114" s="11">
        <f>F114*AO114</f>
        <v>0</v>
      </c>
      <c r="BI114" s="11">
        <f>F114*AP114</f>
        <v>0</v>
      </c>
      <c r="BJ114" s="11">
        <f>F114*G114</f>
        <v>0</v>
      </c>
      <c r="BK114" s="12" t="s">
        <v>64</v>
      </c>
      <c r="BL114" s="11">
        <v>734</v>
      </c>
      <c r="BW114" s="11">
        <v>21</v>
      </c>
      <c r="BX114" s="3" t="s">
        <v>372</v>
      </c>
    </row>
    <row r="115" spans="1:76">
      <c r="A115" s="29" t="s">
        <v>374</v>
      </c>
      <c r="B115" s="2" t="s">
        <v>375</v>
      </c>
      <c r="C115" s="40" t="s">
        <v>376</v>
      </c>
      <c r="D115" s="38"/>
      <c r="E115" s="2" t="s">
        <v>60</v>
      </c>
      <c r="F115" s="11">
        <v>1</v>
      </c>
      <c r="G115" s="109">
        <v>0</v>
      </c>
      <c r="H115" s="11">
        <f>ROUND(F115*AO115,2)</f>
        <v>0</v>
      </c>
      <c r="I115" s="11">
        <f>ROUND(F115*AP115,2)</f>
        <v>0</v>
      </c>
      <c r="J115" s="11">
        <f>ROUND(F115*G115,2)</f>
        <v>0</v>
      </c>
      <c r="K115" s="108" t="s">
        <v>111</v>
      </c>
      <c r="Z115" s="11">
        <f>ROUND(IF(AQ115="5",BJ115,0),2)</f>
        <v>0</v>
      </c>
      <c r="AB115" s="11">
        <f>ROUND(IF(AQ115="1",BH115,0),2)</f>
        <v>0</v>
      </c>
      <c r="AC115" s="11">
        <f>ROUND(IF(AQ115="1",BI115,0),2)</f>
        <v>0</v>
      </c>
      <c r="AD115" s="11">
        <f>ROUND(IF(AQ115="7",BH115,0),2)</f>
        <v>0</v>
      </c>
      <c r="AE115" s="11">
        <f>ROUND(IF(AQ115="7",BI115,0),2)</f>
        <v>0</v>
      </c>
      <c r="AF115" s="11">
        <f>ROUND(IF(AQ115="2",BH115,0),2)</f>
        <v>0</v>
      </c>
      <c r="AG115" s="11">
        <f>ROUND(IF(AQ115="2",BI115,0),2)</f>
        <v>0</v>
      </c>
      <c r="AH115" s="11">
        <f>ROUND(IF(AQ115="0",BJ115,0),2)</f>
        <v>0</v>
      </c>
      <c r="AI115" s="6" t="s">
        <v>56</v>
      </c>
      <c r="AJ115" s="11">
        <f>IF(AN115=0,J115,0)</f>
        <v>0</v>
      </c>
      <c r="AK115" s="11">
        <f>IF(AN115=12,J115,0)</f>
        <v>0</v>
      </c>
      <c r="AL115" s="11">
        <f>IF(AN115=21,J115,0)</f>
        <v>0</v>
      </c>
      <c r="AN115" s="11">
        <v>21</v>
      </c>
      <c r="AO115" s="11">
        <f>G115*0.888825919</f>
        <v>0</v>
      </c>
      <c r="AP115" s="11">
        <f>G115*(1-0.888825919)</f>
        <v>0</v>
      </c>
      <c r="AQ115" s="12" t="s">
        <v>81</v>
      </c>
      <c r="AV115" s="11">
        <f>ROUND(AW115+AX115,2)</f>
        <v>0</v>
      </c>
      <c r="AW115" s="11">
        <f>ROUND(F115*AO115,2)</f>
        <v>0</v>
      </c>
      <c r="AX115" s="11">
        <f>ROUND(F115*AP115,2)</f>
        <v>0</v>
      </c>
      <c r="AY115" s="12" t="s">
        <v>351</v>
      </c>
      <c r="AZ115" s="12" t="s">
        <v>183</v>
      </c>
      <c r="BA115" s="6" t="s">
        <v>63</v>
      </c>
      <c r="BC115" s="11">
        <f>AW115+AX115</f>
        <v>0</v>
      </c>
      <c r="BD115" s="11">
        <f>G115/(100-BE115)*100</f>
        <v>0</v>
      </c>
      <c r="BE115" s="11">
        <v>0</v>
      </c>
      <c r="BF115" s="11">
        <f>115</f>
        <v>115</v>
      </c>
      <c r="BH115" s="11">
        <f>F115*AO115</f>
        <v>0</v>
      </c>
      <c r="BI115" s="11">
        <f>F115*AP115</f>
        <v>0</v>
      </c>
      <c r="BJ115" s="11">
        <f>F115*G115</f>
        <v>0</v>
      </c>
      <c r="BK115" s="12" t="s">
        <v>64</v>
      </c>
      <c r="BL115" s="11">
        <v>734</v>
      </c>
      <c r="BW115" s="11">
        <v>21</v>
      </c>
      <c r="BX115" s="3" t="s">
        <v>376</v>
      </c>
    </row>
    <row r="116" spans="1:76">
      <c r="A116" s="29" t="s">
        <v>377</v>
      </c>
      <c r="B116" s="2" t="s">
        <v>378</v>
      </c>
      <c r="C116" s="40" t="s">
        <v>379</v>
      </c>
      <c r="D116" s="38"/>
      <c r="E116" s="2" t="s">
        <v>127</v>
      </c>
      <c r="F116" s="11">
        <v>6.6530000000000006E-2</v>
      </c>
      <c r="G116" s="109">
        <v>0</v>
      </c>
      <c r="H116" s="11">
        <f>ROUND(F116*AO116,2)</f>
        <v>0</v>
      </c>
      <c r="I116" s="11">
        <f>ROUND(F116*AP116,2)</f>
        <v>0</v>
      </c>
      <c r="J116" s="11">
        <f>ROUND(F116*G116,2)</f>
        <v>0</v>
      </c>
      <c r="K116" s="108" t="s">
        <v>111</v>
      </c>
      <c r="Z116" s="11">
        <f>ROUND(IF(AQ116="5",BJ116,0),2)</f>
        <v>0</v>
      </c>
      <c r="AB116" s="11">
        <f>ROUND(IF(AQ116="1",BH116,0),2)</f>
        <v>0</v>
      </c>
      <c r="AC116" s="11">
        <f>ROUND(IF(AQ116="1",BI116,0),2)</f>
        <v>0</v>
      </c>
      <c r="AD116" s="11">
        <f>ROUND(IF(AQ116="7",BH116,0),2)</f>
        <v>0</v>
      </c>
      <c r="AE116" s="11">
        <f>ROUND(IF(AQ116="7",BI116,0),2)</f>
        <v>0</v>
      </c>
      <c r="AF116" s="11">
        <f>ROUND(IF(AQ116="2",BH116,0),2)</f>
        <v>0</v>
      </c>
      <c r="AG116" s="11">
        <f>ROUND(IF(AQ116="2",BI116,0),2)</f>
        <v>0</v>
      </c>
      <c r="AH116" s="11">
        <f>ROUND(IF(AQ116="0",BJ116,0),2)</f>
        <v>0</v>
      </c>
      <c r="AI116" s="6" t="s">
        <v>56</v>
      </c>
      <c r="AJ116" s="11">
        <f>IF(AN116=0,J116,0)</f>
        <v>0</v>
      </c>
      <c r="AK116" s="11">
        <f>IF(AN116=12,J116,0)</f>
        <v>0</v>
      </c>
      <c r="AL116" s="11">
        <f>IF(AN116=21,J116,0)</f>
        <v>0</v>
      </c>
      <c r="AN116" s="11">
        <v>21</v>
      </c>
      <c r="AO116" s="11">
        <f>G116*0</f>
        <v>0</v>
      </c>
      <c r="AP116" s="11">
        <f>G116*(1-0)</f>
        <v>0</v>
      </c>
      <c r="AQ116" s="12" t="s">
        <v>74</v>
      </c>
      <c r="AV116" s="11">
        <f>ROUND(AW116+AX116,2)</f>
        <v>0</v>
      </c>
      <c r="AW116" s="11">
        <f>ROUND(F116*AO116,2)</f>
        <v>0</v>
      </c>
      <c r="AX116" s="11">
        <f>ROUND(F116*AP116,2)</f>
        <v>0</v>
      </c>
      <c r="AY116" s="12" t="s">
        <v>351</v>
      </c>
      <c r="AZ116" s="12" t="s">
        <v>183</v>
      </c>
      <c r="BA116" s="6" t="s">
        <v>63</v>
      </c>
      <c r="BC116" s="11">
        <f>AW116+AX116</f>
        <v>0</v>
      </c>
      <c r="BD116" s="11">
        <f>G116/(100-BE116)*100</f>
        <v>0</v>
      </c>
      <c r="BE116" s="11">
        <v>0</v>
      </c>
      <c r="BF116" s="11">
        <f>116</f>
        <v>116</v>
      </c>
      <c r="BH116" s="11">
        <f>F116*AO116</f>
        <v>0</v>
      </c>
      <c r="BI116" s="11">
        <f>F116*AP116</f>
        <v>0</v>
      </c>
      <c r="BJ116" s="11">
        <f>F116*G116</f>
        <v>0</v>
      </c>
      <c r="BK116" s="12" t="s">
        <v>64</v>
      </c>
      <c r="BL116" s="11">
        <v>734</v>
      </c>
      <c r="BW116" s="11">
        <v>21</v>
      </c>
      <c r="BX116" s="3" t="s">
        <v>379</v>
      </c>
    </row>
    <row r="117" spans="1:76">
      <c r="A117" s="29" t="s">
        <v>380</v>
      </c>
      <c r="B117" s="30" t="s">
        <v>381</v>
      </c>
      <c r="C117" s="105" t="s">
        <v>382</v>
      </c>
      <c r="D117" s="70"/>
      <c r="E117" s="30" t="s">
        <v>127</v>
      </c>
      <c r="F117" s="106">
        <v>6.6530000000000006E-2</v>
      </c>
      <c r="G117" s="107">
        <v>0</v>
      </c>
      <c r="H117" s="106">
        <f>ROUND(F117*AO117,2)</f>
        <v>0</v>
      </c>
      <c r="I117" s="106">
        <f>ROUND(F117*AP117,2)</f>
        <v>0</v>
      </c>
      <c r="J117" s="106">
        <f>ROUND(F117*G117,2)</f>
        <v>0</v>
      </c>
      <c r="K117" s="108" t="s">
        <v>111</v>
      </c>
      <c r="Z117" s="11">
        <f>ROUND(IF(AQ117="5",BJ117,0),2)</f>
        <v>0</v>
      </c>
      <c r="AB117" s="11">
        <f>ROUND(IF(AQ117="1",BH117,0),2)</f>
        <v>0</v>
      </c>
      <c r="AC117" s="11">
        <f>ROUND(IF(AQ117="1",BI117,0),2)</f>
        <v>0</v>
      </c>
      <c r="AD117" s="11">
        <f>ROUND(IF(AQ117="7",BH117,0),2)</f>
        <v>0</v>
      </c>
      <c r="AE117" s="11">
        <f>ROUND(IF(AQ117="7",BI117,0),2)</f>
        <v>0</v>
      </c>
      <c r="AF117" s="11">
        <f>ROUND(IF(AQ117="2",BH117,0),2)</f>
        <v>0</v>
      </c>
      <c r="AG117" s="11">
        <f>ROUND(IF(AQ117="2",BI117,0),2)</f>
        <v>0</v>
      </c>
      <c r="AH117" s="11">
        <f>ROUND(IF(AQ117="0",BJ117,0),2)</f>
        <v>0</v>
      </c>
      <c r="AI117" s="6" t="s">
        <v>56</v>
      </c>
      <c r="AJ117" s="11">
        <f>IF(AN117=0,J117,0)</f>
        <v>0</v>
      </c>
      <c r="AK117" s="11">
        <f>IF(AN117=12,J117,0)</f>
        <v>0</v>
      </c>
      <c r="AL117" s="11">
        <f>IF(AN117=21,J117,0)</f>
        <v>0</v>
      </c>
      <c r="AN117" s="11">
        <v>21</v>
      </c>
      <c r="AO117" s="11">
        <f>G117*0</f>
        <v>0</v>
      </c>
      <c r="AP117" s="11">
        <f>G117*(1-0)</f>
        <v>0</v>
      </c>
      <c r="AQ117" s="12" t="s">
        <v>74</v>
      </c>
      <c r="AV117" s="11">
        <f>ROUND(AW117+AX117,2)</f>
        <v>0</v>
      </c>
      <c r="AW117" s="11">
        <f>ROUND(F117*AO117,2)</f>
        <v>0</v>
      </c>
      <c r="AX117" s="11">
        <f>ROUND(F117*AP117,2)</f>
        <v>0</v>
      </c>
      <c r="AY117" s="12" t="s">
        <v>351</v>
      </c>
      <c r="AZ117" s="12" t="s">
        <v>183</v>
      </c>
      <c r="BA117" s="6" t="s">
        <v>63</v>
      </c>
      <c r="BC117" s="11">
        <f>AW117+AX117</f>
        <v>0</v>
      </c>
      <c r="BD117" s="11">
        <f>G117/(100-BE117)*100</f>
        <v>0</v>
      </c>
      <c r="BE117" s="11">
        <v>0</v>
      </c>
      <c r="BF117" s="11">
        <f>117</f>
        <v>117</v>
      </c>
      <c r="BH117" s="11">
        <f>F117*AO117</f>
        <v>0</v>
      </c>
      <c r="BI117" s="11">
        <f>F117*AP117</f>
        <v>0</v>
      </c>
      <c r="BJ117" s="11">
        <f>F117*G117</f>
        <v>0</v>
      </c>
      <c r="BK117" s="12" t="s">
        <v>64</v>
      </c>
      <c r="BL117" s="11">
        <v>734</v>
      </c>
      <c r="BW117" s="11">
        <v>21</v>
      </c>
      <c r="BX117" s="3" t="s">
        <v>382</v>
      </c>
    </row>
    <row r="118" spans="1:76">
      <c r="A118" s="13" t="s">
        <v>52</v>
      </c>
      <c r="B118" s="100" t="s">
        <v>383</v>
      </c>
      <c r="C118" s="101" t="s">
        <v>384</v>
      </c>
      <c r="D118" s="102"/>
      <c r="E118" s="103" t="s">
        <v>4</v>
      </c>
      <c r="F118" s="103" t="s">
        <v>4</v>
      </c>
      <c r="G118" s="97" t="s">
        <v>4</v>
      </c>
      <c r="H118" s="104">
        <f>SUM(H119:H125)</f>
        <v>0</v>
      </c>
      <c r="I118" s="104">
        <f>SUM(I119:I125)</f>
        <v>0</v>
      </c>
      <c r="J118" s="104">
        <f>SUM(J119:J125)</f>
        <v>0</v>
      </c>
      <c r="K118" s="14" t="s">
        <v>52</v>
      </c>
      <c r="AI118" s="6" t="s">
        <v>56</v>
      </c>
      <c r="AS118" s="1">
        <f>SUM(AJ119:AJ125)</f>
        <v>0</v>
      </c>
      <c r="AT118" s="1">
        <f>SUM(AK119:AK125)</f>
        <v>0</v>
      </c>
      <c r="AU118" s="1">
        <f>SUM(AL119:AL125)</f>
        <v>0</v>
      </c>
    </row>
    <row r="119" spans="1:76">
      <c r="A119" s="29" t="s">
        <v>385</v>
      </c>
      <c r="B119" s="30" t="s">
        <v>386</v>
      </c>
      <c r="C119" s="105" t="s">
        <v>387</v>
      </c>
      <c r="D119" s="70"/>
      <c r="E119" s="30" t="s">
        <v>254</v>
      </c>
      <c r="F119" s="106">
        <v>1</v>
      </c>
      <c r="G119" s="107">
        <v>0</v>
      </c>
      <c r="H119" s="106">
        <f>ROUND(F119*AO119,2)</f>
        <v>0</v>
      </c>
      <c r="I119" s="106">
        <f>ROUND(F119*AP119,2)</f>
        <v>0</v>
      </c>
      <c r="J119" s="106">
        <f>ROUND(F119*G119,2)</f>
        <v>0</v>
      </c>
      <c r="K119" s="108" t="s">
        <v>52</v>
      </c>
      <c r="Z119" s="11">
        <f>ROUND(IF(AQ119="5",BJ119,0),2)</f>
        <v>0</v>
      </c>
      <c r="AB119" s="11">
        <f>ROUND(IF(AQ119="1",BH119,0),2)</f>
        <v>0</v>
      </c>
      <c r="AC119" s="11">
        <f>ROUND(IF(AQ119="1",BI119,0),2)</f>
        <v>0</v>
      </c>
      <c r="AD119" s="11">
        <f>ROUND(IF(AQ119="7",BH119,0),2)</f>
        <v>0</v>
      </c>
      <c r="AE119" s="11">
        <f>ROUND(IF(AQ119="7",BI119,0),2)</f>
        <v>0</v>
      </c>
      <c r="AF119" s="11">
        <f>ROUND(IF(AQ119="2",BH119,0),2)</f>
        <v>0</v>
      </c>
      <c r="AG119" s="11">
        <f>ROUND(IF(AQ119="2",BI119,0),2)</f>
        <v>0</v>
      </c>
      <c r="AH119" s="11">
        <f>ROUND(IF(AQ119="0",BJ119,0),2)</f>
        <v>0</v>
      </c>
      <c r="AI119" s="6" t="s">
        <v>56</v>
      </c>
      <c r="AJ119" s="11">
        <f>IF(AN119=0,J119,0)</f>
        <v>0</v>
      </c>
      <c r="AK119" s="11">
        <f>IF(AN119=12,J119,0)</f>
        <v>0</v>
      </c>
      <c r="AL119" s="11">
        <f>IF(AN119=21,J119,0)</f>
        <v>0</v>
      </c>
      <c r="AN119" s="11">
        <v>21</v>
      </c>
      <c r="AO119" s="11">
        <f>G119*0.6</f>
        <v>0</v>
      </c>
      <c r="AP119" s="11">
        <f>G119*(1-0.6)</f>
        <v>0</v>
      </c>
      <c r="AQ119" s="12" t="s">
        <v>81</v>
      </c>
      <c r="AV119" s="11">
        <f>ROUND(AW119+AX119,2)</f>
        <v>0</v>
      </c>
      <c r="AW119" s="11">
        <f>ROUND(F119*AO119,2)</f>
        <v>0</v>
      </c>
      <c r="AX119" s="11">
        <f>ROUND(F119*AP119,2)</f>
        <v>0</v>
      </c>
      <c r="AY119" s="12" t="s">
        <v>388</v>
      </c>
      <c r="AZ119" s="12" t="s">
        <v>389</v>
      </c>
      <c r="BA119" s="6" t="s">
        <v>63</v>
      </c>
      <c r="BC119" s="11">
        <f>AW119+AX119</f>
        <v>0</v>
      </c>
      <c r="BD119" s="11">
        <f>G119/(100-BE119)*100</f>
        <v>0</v>
      </c>
      <c r="BE119" s="11">
        <v>0</v>
      </c>
      <c r="BF119" s="11">
        <f>119</f>
        <v>119</v>
      </c>
      <c r="BH119" s="11">
        <f>F119*AO119</f>
        <v>0</v>
      </c>
      <c r="BI119" s="11">
        <f>F119*AP119</f>
        <v>0</v>
      </c>
      <c r="BJ119" s="11">
        <f>F119*G119</f>
        <v>0</v>
      </c>
      <c r="BK119" s="12" t="s">
        <v>64</v>
      </c>
      <c r="BL119" s="11">
        <v>783</v>
      </c>
      <c r="BW119" s="11">
        <v>21</v>
      </c>
      <c r="BX119" s="3" t="s">
        <v>387</v>
      </c>
    </row>
    <row r="120" spans="1:76">
      <c r="A120" s="29" t="s">
        <v>390</v>
      </c>
      <c r="B120" s="2" t="s">
        <v>391</v>
      </c>
      <c r="C120" s="40" t="s">
        <v>392</v>
      </c>
      <c r="D120" s="38"/>
      <c r="E120" s="2" t="s">
        <v>110</v>
      </c>
      <c r="F120" s="11">
        <v>10</v>
      </c>
      <c r="G120" s="109">
        <v>0</v>
      </c>
      <c r="H120" s="11">
        <f>ROUND(F120*AO120,2)</f>
        <v>0</v>
      </c>
      <c r="I120" s="11">
        <f>ROUND(F120*AP120,2)</f>
        <v>0</v>
      </c>
      <c r="J120" s="11">
        <f>ROUND(F120*G120,2)</f>
        <v>0</v>
      </c>
      <c r="K120" s="108" t="s">
        <v>52</v>
      </c>
      <c r="Z120" s="11">
        <f>ROUND(IF(AQ120="5",BJ120,0),2)</f>
        <v>0</v>
      </c>
      <c r="AB120" s="11">
        <f>ROUND(IF(AQ120="1",BH120,0),2)</f>
        <v>0</v>
      </c>
      <c r="AC120" s="11">
        <f>ROUND(IF(AQ120="1",BI120,0),2)</f>
        <v>0</v>
      </c>
      <c r="AD120" s="11">
        <f>ROUND(IF(AQ120="7",BH120,0),2)</f>
        <v>0</v>
      </c>
      <c r="AE120" s="11">
        <f>ROUND(IF(AQ120="7",BI120,0),2)</f>
        <v>0</v>
      </c>
      <c r="AF120" s="11">
        <f>ROUND(IF(AQ120="2",BH120,0),2)</f>
        <v>0</v>
      </c>
      <c r="AG120" s="11">
        <f>ROUND(IF(AQ120="2",BI120,0),2)</f>
        <v>0</v>
      </c>
      <c r="AH120" s="11">
        <f>ROUND(IF(AQ120="0",BJ120,0),2)</f>
        <v>0</v>
      </c>
      <c r="AI120" s="6" t="s">
        <v>56</v>
      </c>
      <c r="AJ120" s="11">
        <f>IF(AN120=0,J120,0)</f>
        <v>0</v>
      </c>
      <c r="AK120" s="11">
        <f>IF(AN120=12,J120,0)</f>
        <v>0</v>
      </c>
      <c r="AL120" s="11">
        <f>IF(AN120=21,J120,0)</f>
        <v>0</v>
      </c>
      <c r="AN120" s="11">
        <v>21</v>
      </c>
      <c r="AO120" s="11">
        <f>G120*0.263157895</f>
        <v>0</v>
      </c>
      <c r="AP120" s="11">
        <f>G120*(1-0.263157895)</f>
        <v>0</v>
      </c>
      <c r="AQ120" s="12" t="s">
        <v>81</v>
      </c>
      <c r="AV120" s="11">
        <f>ROUND(AW120+AX120,2)</f>
        <v>0</v>
      </c>
      <c r="AW120" s="11">
        <f>ROUND(F120*AO120,2)</f>
        <v>0</v>
      </c>
      <c r="AX120" s="11">
        <f>ROUND(F120*AP120,2)</f>
        <v>0</v>
      </c>
      <c r="AY120" s="12" t="s">
        <v>388</v>
      </c>
      <c r="AZ120" s="12" t="s">
        <v>389</v>
      </c>
      <c r="BA120" s="6" t="s">
        <v>63</v>
      </c>
      <c r="BC120" s="11">
        <f>AW120+AX120</f>
        <v>0</v>
      </c>
      <c r="BD120" s="11">
        <f>G120/(100-BE120)*100</f>
        <v>0</v>
      </c>
      <c r="BE120" s="11">
        <v>0</v>
      </c>
      <c r="BF120" s="11">
        <f>120</f>
        <v>120</v>
      </c>
      <c r="BH120" s="11">
        <f>F120*AO120</f>
        <v>0</v>
      </c>
      <c r="BI120" s="11">
        <f>F120*AP120</f>
        <v>0</v>
      </c>
      <c r="BJ120" s="11">
        <f>F120*G120</f>
        <v>0</v>
      </c>
      <c r="BK120" s="12" t="s">
        <v>64</v>
      </c>
      <c r="BL120" s="11">
        <v>783</v>
      </c>
      <c r="BW120" s="11">
        <v>21</v>
      </c>
      <c r="BX120" s="3" t="s">
        <v>392</v>
      </c>
    </row>
    <row r="121" spans="1:76">
      <c r="A121" s="29" t="s">
        <v>393</v>
      </c>
      <c r="B121" s="2" t="s">
        <v>394</v>
      </c>
      <c r="C121" s="40" t="s">
        <v>395</v>
      </c>
      <c r="D121" s="38"/>
      <c r="E121" s="2" t="s">
        <v>110</v>
      </c>
      <c r="F121" s="11">
        <v>1.5</v>
      </c>
      <c r="G121" s="109">
        <v>0</v>
      </c>
      <c r="H121" s="11">
        <f>ROUND(F121*AO121,2)</f>
        <v>0</v>
      </c>
      <c r="I121" s="11">
        <f>ROUND(F121*AP121,2)</f>
        <v>0</v>
      </c>
      <c r="J121" s="11">
        <f>ROUND(F121*G121,2)</f>
        <v>0</v>
      </c>
      <c r="K121" s="108" t="s">
        <v>52</v>
      </c>
      <c r="Z121" s="11">
        <f>ROUND(IF(AQ121="5",BJ121,0),2)</f>
        <v>0</v>
      </c>
      <c r="AB121" s="11">
        <f>ROUND(IF(AQ121="1",BH121,0),2)</f>
        <v>0</v>
      </c>
      <c r="AC121" s="11">
        <f>ROUND(IF(AQ121="1",BI121,0),2)</f>
        <v>0</v>
      </c>
      <c r="AD121" s="11">
        <f>ROUND(IF(AQ121="7",BH121,0),2)</f>
        <v>0</v>
      </c>
      <c r="AE121" s="11">
        <f>ROUND(IF(AQ121="7",BI121,0),2)</f>
        <v>0</v>
      </c>
      <c r="AF121" s="11">
        <f>ROUND(IF(AQ121="2",BH121,0),2)</f>
        <v>0</v>
      </c>
      <c r="AG121" s="11">
        <f>ROUND(IF(AQ121="2",BI121,0),2)</f>
        <v>0</v>
      </c>
      <c r="AH121" s="11">
        <f>ROUND(IF(AQ121="0",BJ121,0),2)</f>
        <v>0</v>
      </c>
      <c r="AI121" s="6" t="s">
        <v>56</v>
      </c>
      <c r="AJ121" s="11">
        <f>IF(AN121=0,J121,0)</f>
        <v>0</v>
      </c>
      <c r="AK121" s="11">
        <f>IF(AN121=12,J121,0)</f>
        <v>0</v>
      </c>
      <c r="AL121" s="11">
        <f>IF(AN121=21,J121,0)</f>
        <v>0</v>
      </c>
      <c r="AN121" s="11">
        <v>21</v>
      </c>
      <c r="AO121" s="11">
        <f>G121*0.772727273</f>
        <v>0</v>
      </c>
      <c r="AP121" s="11">
        <f>G121*(1-0.772727273)</f>
        <v>0</v>
      </c>
      <c r="AQ121" s="12" t="s">
        <v>81</v>
      </c>
      <c r="AV121" s="11">
        <f>ROUND(AW121+AX121,2)</f>
        <v>0</v>
      </c>
      <c r="AW121" s="11">
        <f>ROUND(F121*AO121,2)</f>
        <v>0</v>
      </c>
      <c r="AX121" s="11">
        <f>ROUND(F121*AP121,2)</f>
        <v>0</v>
      </c>
      <c r="AY121" s="12" t="s">
        <v>388</v>
      </c>
      <c r="AZ121" s="12" t="s">
        <v>389</v>
      </c>
      <c r="BA121" s="6" t="s">
        <v>63</v>
      </c>
      <c r="BC121" s="11">
        <f>AW121+AX121</f>
        <v>0</v>
      </c>
      <c r="BD121" s="11">
        <f>G121/(100-BE121)*100</f>
        <v>0</v>
      </c>
      <c r="BE121" s="11">
        <v>0</v>
      </c>
      <c r="BF121" s="11">
        <f>121</f>
        <v>121</v>
      </c>
      <c r="BH121" s="11">
        <f>F121*AO121</f>
        <v>0</v>
      </c>
      <c r="BI121" s="11">
        <f>F121*AP121</f>
        <v>0</v>
      </c>
      <c r="BJ121" s="11">
        <f>F121*G121</f>
        <v>0</v>
      </c>
      <c r="BK121" s="12" t="s">
        <v>64</v>
      </c>
      <c r="BL121" s="11">
        <v>783</v>
      </c>
      <c r="BW121" s="11">
        <v>21</v>
      </c>
      <c r="BX121" s="3" t="s">
        <v>395</v>
      </c>
    </row>
    <row r="122" spans="1:76">
      <c r="A122" s="29" t="s">
        <v>396</v>
      </c>
      <c r="B122" s="2" t="s">
        <v>397</v>
      </c>
      <c r="C122" s="40" t="s">
        <v>398</v>
      </c>
      <c r="D122" s="38"/>
      <c r="E122" s="2" t="s">
        <v>110</v>
      </c>
      <c r="F122" s="11">
        <v>10</v>
      </c>
      <c r="G122" s="109">
        <v>0</v>
      </c>
      <c r="H122" s="11">
        <f>ROUND(F122*AO122,2)</f>
        <v>0</v>
      </c>
      <c r="I122" s="11">
        <f>ROUND(F122*AP122,2)</f>
        <v>0</v>
      </c>
      <c r="J122" s="11">
        <f>ROUND(F122*G122,2)</f>
        <v>0</v>
      </c>
      <c r="K122" s="108" t="s">
        <v>52</v>
      </c>
      <c r="Z122" s="11">
        <f>ROUND(IF(AQ122="5",BJ122,0),2)</f>
        <v>0</v>
      </c>
      <c r="AB122" s="11">
        <f>ROUND(IF(AQ122="1",BH122,0),2)</f>
        <v>0</v>
      </c>
      <c r="AC122" s="11">
        <f>ROUND(IF(AQ122="1",BI122,0),2)</f>
        <v>0</v>
      </c>
      <c r="AD122" s="11">
        <f>ROUND(IF(AQ122="7",BH122,0),2)</f>
        <v>0</v>
      </c>
      <c r="AE122" s="11">
        <f>ROUND(IF(AQ122="7",BI122,0),2)</f>
        <v>0</v>
      </c>
      <c r="AF122" s="11">
        <f>ROUND(IF(AQ122="2",BH122,0),2)</f>
        <v>0</v>
      </c>
      <c r="AG122" s="11">
        <f>ROUND(IF(AQ122="2",BI122,0),2)</f>
        <v>0</v>
      </c>
      <c r="AH122" s="11">
        <f>ROUND(IF(AQ122="0",BJ122,0),2)</f>
        <v>0</v>
      </c>
      <c r="AI122" s="6" t="s">
        <v>56</v>
      </c>
      <c r="AJ122" s="11">
        <f>IF(AN122=0,J122,0)</f>
        <v>0</v>
      </c>
      <c r="AK122" s="11">
        <f>IF(AN122=12,J122,0)</f>
        <v>0</v>
      </c>
      <c r="AL122" s="11">
        <f>IF(AN122=21,J122,0)</f>
        <v>0</v>
      </c>
      <c r="AN122" s="11">
        <v>21</v>
      </c>
      <c r="AO122" s="11">
        <f>G122*0.637681159</f>
        <v>0</v>
      </c>
      <c r="AP122" s="11">
        <f>G122*(1-0.637681159)</f>
        <v>0</v>
      </c>
      <c r="AQ122" s="12" t="s">
        <v>81</v>
      </c>
      <c r="AV122" s="11">
        <f>ROUND(AW122+AX122,2)</f>
        <v>0</v>
      </c>
      <c r="AW122" s="11">
        <f>ROUND(F122*AO122,2)</f>
        <v>0</v>
      </c>
      <c r="AX122" s="11">
        <f>ROUND(F122*AP122,2)</f>
        <v>0</v>
      </c>
      <c r="AY122" s="12" t="s">
        <v>388</v>
      </c>
      <c r="AZ122" s="12" t="s">
        <v>389</v>
      </c>
      <c r="BA122" s="6" t="s">
        <v>63</v>
      </c>
      <c r="BC122" s="11">
        <f>AW122+AX122</f>
        <v>0</v>
      </c>
      <c r="BD122" s="11">
        <f>G122/(100-BE122)*100</f>
        <v>0</v>
      </c>
      <c r="BE122" s="11">
        <v>0</v>
      </c>
      <c r="BF122" s="11">
        <f>122</f>
        <v>122</v>
      </c>
      <c r="BH122" s="11">
        <f>F122*AO122</f>
        <v>0</v>
      </c>
      <c r="BI122" s="11">
        <f>F122*AP122</f>
        <v>0</v>
      </c>
      <c r="BJ122" s="11">
        <f>F122*G122</f>
        <v>0</v>
      </c>
      <c r="BK122" s="12" t="s">
        <v>64</v>
      </c>
      <c r="BL122" s="11">
        <v>783</v>
      </c>
      <c r="BW122" s="11">
        <v>21</v>
      </c>
      <c r="BX122" s="3" t="s">
        <v>398</v>
      </c>
    </row>
    <row r="123" spans="1:76">
      <c r="A123" s="29" t="s">
        <v>399</v>
      </c>
      <c r="B123" s="2" t="s">
        <v>400</v>
      </c>
      <c r="C123" s="40" t="s">
        <v>401</v>
      </c>
      <c r="D123" s="38"/>
      <c r="E123" s="2" t="s">
        <v>110</v>
      </c>
      <c r="F123" s="11">
        <v>10</v>
      </c>
      <c r="G123" s="109">
        <v>0</v>
      </c>
      <c r="H123" s="11">
        <f>ROUND(F123*AO123,2)</f>
        <v>0</v>
      </c>
      <c r="I123" s="11">
        <f>ROUND(F123*AP123,2)</f>
        <v>0</v>
      </c>
      <c r="J123" s="11">
        <f>ROUND(F123*G123,2)</f>
        <v>0</v>
      </c>
      <c r="K123" s="108" t="s">
        <v>52</v>
      </c>
      <c r="Z123" s="11">
        <f>ROUND(IF(AQ123="5",BJ123,0),2)</f>
        <v>0</v>
      </c>
      <c r="AB123" s="11">
        <f>ROUND(IF(AQ123="1",BH123,0),2)</f>
        <v>0</v>
      </c>
      <c r="AC123" s="11">
        <f>ROUND(IF(AQ123="1",BI123,0),2)</f>
        <v>0</v>
      </c>
      <c r="AD123" s="11">
        <f>ROUND(IF(AQ123="7",BH123,0),2)</f>
        <v>0</v>
      </c>
      <c r="AE123" s="11">
        <f>ROUND(IF(AQ123="7",BI123,0),2)</f>
        <v>0</v>
      </c>
      <c r="AF123" s="11">
        <f>ROUND(IF(AQ123="2",BH123,0),2)</f>
        <v>0</v>
      </c>
      <c r="AG123" s="11">
        <f>ROUND(IF(AQ123="2",BI123,0),2)</f>
        <v>0</v>
      </c>
      <c r="AH123" s="11">
        <f>ROUND(IF(AQ123="0",BJ123,0),2)</f>
        <v>0</v>
      </c>
      <c r="AI123" s="6" t="s">
        <v>56</v>
      </c>
      <c r="AJ123" s="11">
        <f>IF(AN123=0,J123,0)</f>
        <v>0</v>
      </c>
      <c r="AK123" s="11">
        <f>IF(AN123=12,J123,0)</f>
        <v>0</v>
      </c>
      <c r="AL123" s="11">
        <f>IF(AN123=21,J123,0)</f>
        <v>0</v>
      </c>
      <c r="AN123" s="11">
        <v>21</v>
      </c>
      <c r="AO123" s="11">
        <f>G123*0.634146341</f>
        <v>0</v>
      </c>
      <c r="AP123" s="11">
        <f>G123*(1-0.634146341)</f>
        <v>0</v>
      </c>
      <c r="AQ123" s="12" t="s">
        <v>81</v>
      </c>
      <c r="AV123" s="11">
        <f>ROUND(AW123+AX123,2)</f>
        <v>0</v>
      </c>
      <c r="AW123" s="11">
        <f>ROUND(F123*AO123,2)</f>
        <v>0</v>
      </c>
      <c r="AX123" s="11">
        <f>ROUND(F123*AP123,2)</f>
        <v>0</v>
      </c>
      <c r="AY123" s="12" t="s">
        <v>388</v>
      </c>
      <c r="AZ123" s="12" t="s">
        <v>389</v>
      </c>
      <c r="BA123" s="6" t="s">
        <v>63</v>
      </c>
      <c r="BC123" s="11">
        <f>AW123+AX123</f>
        <v>0</v>
      </c>
      <c r="BD123" s="11">
        <f>G123/(100-BE123)*100</f>
        <v>0</v>
      </c>
      <c r="BE123" s="11">
        <v>0</v>
      </c>
      <c r="BF123" s="11">
        <f>123</f>
        <v>123</v>
      </c>
      <c r="BH123" s="11">
        <f>F123*AO123</f>
        <v>0</v>
      </c>
      <c r="BI123" s="11">
        <f>F123*AP123</f>
        <v>0</v>
      </c>
      <c r="BJ123" s="11">
        <f>F123*G123</f>
        <v>0</v>
      </c>
      <c r="BK123" s="12" t="s">
        <v>64</v>
      </c>
      <c r="BL123" s="11">
        <v>783</v>
      </c>
      <c r="BW123" s="11">
        <v>21</v>
      </c>
      <c r="BX123" s="3" t="s">
        <v>401</v>
      </c>
    </row>
    <row r="124" spans="1:76">
      <c r="A124" s="29" t="s">
        <v>402</v>
      </c>
      <c r="B124" s="2" t="s">
        <v>403</v>
      </c>
      <c r="C124" s="40" t="s">
        <v>404</v>
      </c>
      <c r="D124" s="38"/>
      <c r="E124" s="2" t="s">
        <v>254</v>
      </c>
      <c r="F124" s="11">
        <v>1</v>
      </c>
      <c r="G124" s="109">
        <v>0</v>
      </c>
      <c r="H124" s="11">
        <f>ROUND(F124*AO124,2)</f>
        <v>0</v>
      </c>
      <c r="I124" s="11">
        <f>ROUND(F124*AP124,2)</f>
        <v>0</v>
      </c>
      <c r="J124" s="11">
        <f>ROUND(F124*G124,2)</f>
        <v>0</v>
      </c>
      <c r="K124" s="108" t="s">
        <v>52</v>
      </c>
      <c r="Z124" s="11">
        <f>ROUND(IF(AQ124="5",BJ124,0),2)</f>
        <v>0</v>
      </c>
      <c r="AB124" s="11">
        <f>ROUND(IF(AQ124="1",BH124,0),2)</f>
        <v>0</v>
      </c>
      <c r="AC124" s="11">
        <f>ROUND(IF(AQ124="1",BI124,0),2)</f>
        <v>0</v>
      </c>
      <c r="AD124" s="11">
        <f>ROUND(IF(AQ124="7",BH124,0),2)</f>
        <v>0</v>
      </c>
      <c r="AE124" s="11">
        <f>ROUND(IF(AQ124="7",BI124,0),2)</f>
        <v>0</v>
      </c>
      <c r="AF124" s="11">
        <f>ROUND(IF(AQ124="2",BH124,0),2)</f>
        <v>0</v>
      </c>
      <c r="AG124" s="11">
        <f>ROUND(IF(AQ124="2",BI124,0),2)</f>
        <v>0</v>
      </c>
      <c r="AH124" s="11">
        <f>ROUND(IF(AQ124="0",BJ124,0),2)</f>
        <v>0</v>
      </c>
      <c r="AI124" s="6" t="s">
        <v>56</v>
      </c>
      <c r="AJ124" s="11">
        <f>IF(AN124=0,J124,0)</f>
        <v>0</v>
      </c>
      <c r="AK124" s="11">
        <f>IF(AN124=12,J124,0)</f>
        <v>0</v>
      </c>
      <c r="AL124" s="11">
        <f>IF(AN124=21,J124,0)</f>
        <v>0</v>
      </c>
      <c r="AN124" s="11">
        <v>21</v>
      </c>
      <c r="AO124" s="11">
        <f>G124*0</f>
        <v>0</v>
      </c>
      <c r="AP124" s="11">
        <f>G124*(1-0)</f>
        <v>0</v>
      </c>
      <c r="AQ124" s="12" t="s">
        <v>81</v>
      </c>
      <c r="AV124" s="11">
        <f>ROUND(AW124+AX124,2)</f>
        <v>0</v>
      </c>
      <c r="AW124" s="11">
        <f>ROUND(F124*AO124,2)</f>
        <v>0</v>
      </c>
      <c r="AX124" s="11">
        <f>ROUND(F124*AP124,2)</f>
        <v>0</v>
      </c>
      <c r="AY124" s="12" t="s">
        <v>388</v>
      </c>
      <c r="AZ124" s="12" t="s">
        <v>389</v>
      </c>
      <c r="BA124" s="6" t="s">
        <v>63</v>
      </c>
      <c r="BC124" s="11">
        <f>AW124+AX124</f>
        <v>0</v>
      </c>
      <c r="BD124" s="11">
        <f>G124/(100-BE124)*100</f>
        <v>0</v>
      </c>
      <c r="BE124" s="11">
        <v>0</v>
      </c>
      <c r="BF124" s="11">
        <f>124</f>
        <v>124</v>
      </c>
      <c r="BH124" s="11">
        <f>F124*AO124</f>
        <v>0</v>
      </c>
      <c r="BI124" s="11">
        <f>F124*AP124</f>
        <v>0</v>
      </c>
      <c r="BJ124" s="11">
        <f>F124*G124</f>
        <v>0</v>
      </c>
      <c r="BK124" s="12" t="s">
        <v>64</v>
      </c>
      <c r="BL124" s="11">
        <v>783</v>
      </c>
      <c r="BW124" s="11">
        <v>21</v>
      </c>
      <c r="BX124" s="3" t="s">
        <v>404</v>
      </c>
    </row>
    <row r="125" spans="1:76">
      <c r="A125" s="29" t="s">
        <v>405</v>
      </c>
      <c r="B125" s="30" t="s">
        <v>406</v>
      </c>
      <c r="C125" s="105" t="s">
        <v>407</v>
      </c>
      <c r="D125" s="70"/>
      <c r="E125" s="30" t="s">
        <v>254</v>
      </c>
      <c r="F125" s="106">
        <v>1</v>
      </c>
      <c r="G125" s="107">
        <v>0</v>
      </c>
      <c r="H125" s="106">
        <f>ROUND(F125*AO125,2)</f>
        <v>0</v>
      </c>
      <c r="I125" s="106">
        <f>ROUND(F125*AP125,2)</f>
        <v>0</v>
      </c>
      <c r="J125" s="106">
        <f>ROUND(F125*G125,2)</f>
        <v>0</v>
      </c>
      <c r="K125" s="108" t="s">
        <v>52</v>
      </c>
      <c r="Z125" s="11">
        <f>ROUND(IF(AQ125="5",BJ125,0),2)</f>
        <v>0</v>
      </c>
      <c r="AB125" s="11">
        <f>ROUND(IF(AQ125="1",BH125,0),2)</f>
        <v>0</v>
      </c>
      <c r="AC125" s="11">
        <f>ROUND(IF(AQ125="1",BI125,0),2)</f>
        <v>0</v>
      </c>
      <c r="AD125" s="11">
        <f>ROUND(IF(AQ125="7",BH125,0),2)</f>
        <v>0</v>
      </c>
      <c r="AE125" s="11">
        <f>ROUND(IF(AQ125="7",BI125,0),2)</f>
        <v>0</v>
      </c>
      <c r="AF125" s="11">
        <f>ROUND(IF(AQ125="2",BH125,0),2)</f>
        <v>0</v>
      </c>
      <c r="AG125" s="11">
        <f>ROUND(IF(AQ125="2",BI125,0),2)</f>
        <v>0</v>
      </c>
      <c r="AH125" s="11">
        <f>ROUND(IF(AQ125="0",BJ125,0),2)</f>
        <v>0</v>
      </c>
      <c r="AI125" s="6" t="s">
        <v>56</v>
      </c>
      <c r="AJ125" s="11">
        <f>IF(AN125=0,J125,0)</f>
        <v>0</v>
      </c>
      <c r="AK125" s="11">
        <f>IF(AN125=12,J125,0)</f>
        <v>0</v>
      </c>
      <c r="AL125" s="11">
        <f>IF(AN125=21,J125,0)</f>
        <v>0</v>
      </c>
      <c r="AN125" s="11">
        <v>21</v>
      </c>
      <c r="AO125" s="11">
        <f>G125*0</f>
        <v>0</v>
      </c>
      <c r="AP125" s="11">
        <f>G125*(1-0)</f>
        <v>0</v>
      </c>
      <c r="AQ125" s="12" t="s">
        <v>81</v>
      </c>
      <c r="AV125" s="11">
        <f>ROUND(AW125+AX125,2)</f>
        <v>0</v>
      </c>
      <c r="AW125" s="11">
        <f>ROUND(F125*AO125,2)</f>
        <v>0</v>
      </c>
      <c r="AX125" s="11">
        <f>ROUND(F125*AP125,2)</f>
        <v>0</v>
      </c>
      <c r="AY125" s="12" t="s">
        <v>388</v>
      </c>
      <c r="AZ125" s="12" t="s">
        <v>389</v>
      </c>
      <c r="BA125" s="6" t="s">
        <v>63</v>
      </c>
      <c r="BC125" s="11">
        <f>AW125+AX125</f>
        <v>0</v>
      </c>
      <c r="BD125" s="11">
        <f>G125/(100-BE125)*100</f>
        <v>0</v>
      </c>
      <c r="BE125" s="11">
        <v>0</v>
      </c>
      <c r="BF125" s="11">
        <f>125</f>
        <v>125</v>
      </c>
      <c r="BH125" s="11">
        <f>F125*AO125</f>
        <v>0</v>
      </c>
      <c r="BI125" s="11">
        <f>F125*AP125</f>
        <v>0</v>
      </c>
      <c r="BJ125" s="11">
        <f>F125*G125</f>
        <v>0</v>
      </c>
      <c r="BK125" s="12" t="s">
        <v>64</v>
      </c>
      <c r="BL125" s="11">
        <v>783</v>
      </c>
      <c r="BW125" s="11">
        <v>21</v>
      </c>
      <c r="BX125" s="3" t="s">
        <v>407</v>
      </c>
    </row>
    <row r="126" spans="1:76">
      <c r="A126" s="13" t="s">
        <v>52</v>
      </c>
      <c r="B126" s="100" t="s">
        <v>374</v>
      </c>
      <c r="C126" s="101" t="s">
        <v>408</v>
      </c>
      <c r="D126" s="102"/>
      <c r="E126" s="103" t="s">
        <v>4</v>
      </c>
      <c r="F126" s="103" t="s">
        <v>4</v>
      </c>
      <c r="G126" s="97" t="s">
        <v>4</v>
      </c>
      <c r="H126" s="104">
        <f>SUM(H127:H127)</f>
        <v>0</v>
      </c>
      <c r="I126" s="104">
        <f>SUM(I127:I127)</f>
        <v>0</v>
      </c>
      <c r="J126" s="104">
        <f>SUM(J127:J127)</f>
        <v>0</v>
      </c>
      <c r="K126" s="14" t="s">
        <v>52</v>
      </c>
      <c r="AI126" s="6" t="s">
        <v>56</v>
      </c>
      <c r="AS126" s="1">
        <f>SUM(AJ127:AJ127)</f>
        <v>0</v>
      </c>
      <c r="AT126" s="1">
        <f>SUM(AK127:AK127)</f>
        <v>0</v>
      </c>
      <c r="AU126" s="1">
        <f>SUM(AL127:AL127)</f>
        <v>0</v>
      </c>
    </row>
    <row r="127" spans="1:76">
      <c r="A127" s="29" t="s">
        <v>409</v>
      </c>
      <c r="B127" s="30" t="s">
        <v>410</v>
      </c>
      <c r="C127" s="105" t="s">
        <v>411</v>
      </c>
      <c r="D127" s="70"/>
      <c r="E127" s="30" t="s">
        <v>110</v>
      </c>
      <c r="F127" s="106">
        <v>30</v>
      </c>
      <c r="G127" s="107">
        <v>0</v>
      </c>
      <c r="H127" s="106">
        <f>ROUND(F127*AO127,2)</f>
        <v>0</v>
      </c>
      <c r="I127" s="106">
        <f>ROUND(F127*AP127,2)</f>
        <v>0</v>
      </c>
      <c r="J127" s="106">
        <f>ROUND(F127*G127,2)</f>
        <v>0</v>
      </c>
      <c r="K127" s="108" t="s">
        <v>111</v>
      </c>
      <c r="Z127" s="11">
        <f>ROUND(IF(AQ127="5",BJ127,0),2)</f>
        <v>0</v>
      </c>
      <c r="AB127" s="11">
        <f>ROUND(IF(AQ127="1",BH127,0),2)</f>
        <v>0</v>
      </c>
      <c r="AC127" s="11">
        <f>ROUND(IF(AQ127="1",BI127,0),2)</f>
        <v>0</v>
      </c>
      <c r="AD127" s="11">
        <f>ROUND(IF(AQ127="7",BH127,0),2)</f>
        <v>0</v>
      </c>
      <c r="AE127" s="11">
        <f>ROUND(IF(AQ127="7",BI127,0),2)</f>
        <v>0</v>
      </c>
      <c r="AF127" s="11">
        <f>ROUND(IF(AQ127="2",BH127,0),2)</f>
        <v>0</v>
      </c>
      <c r="AG127" s="11">
        <f>ROUND(IF(AQ127="2",BI127,0),2)</f>
        <v>0</v>
      </c>
      <c r="AH127" s="11">
        <f>ROUND(IF(AQ127="0",BJ127,0),2)</f>
        <v>0</v>
      </c>
      <c r="AI127" s="6" t="s">
        <v>56</v>
      </c>
      <c r="AJ127" s="11">
        <f>IF(AN127=0,J127,0)</f>
        <v>0</v>
      </c>
      <c r="AK127" s="11">
        <f>IF(AN127=12,J127,0)</f>
        <v>0</v>
      </c>
      <c r="AL127" s="11">
        <f>IF(AN127=21,J127,0)</f>
        <v>0</v>
      </c>
      <c r="AN127" s="11">
        <v>21</v>
      </c>
      <c r="AO127" s="11">
        <f>G127*0</f>
        <v>0</v>
      </c>
      <c r="AP127" s="11">
        <f>G127*(1-0)</f>
        <v>0</v>
      </c>
      <c r="AQ127" s="12" t="s">
        <v>57</v>
      </c>
      <c r="AV127" s="11">
        <f>ROUND(AW127+AX127,2)</f>
        <v>0</v>
      </c>
      <c r="AW127" s="11">
        <f>ROUND(F127*AO127,2)</f>
        <v>0</v>
      </c>
      <c r="AX127" s="11">
        <f>ROUND(F127*AP127,2)</f>
        <v>0</v>
      </c>
      <c r="AY127" s="12" t="s">
        <v>412</v>
      </c>
      <c r="AZ127" s="12" t="s">
        <v>413</v>
      </c>
      <c r="BA127" s="6" t="s">
        <v>63</v>
      </c>
      <c r="BC127" s="11">
        <f>AW127+AX127</f>
        <v>0</v>
      </c>
      <c r="BD127" s="11">
        <f>G127/(100-BE127)*100</f>
        <v>0</v>
      </c>
      <c r="BE127" s="11">
        <v>0</v>
      </c>
      <c r="BF127" s="11">
        <f>127</f>
        <v>127</v>
      </c>
      <c r="BH127" s="11">
        <f>F127*AO127</f>
        <v>0</v>
      </c>
      <c r="BI127" s="11">
        <f>F127*AP127</f>
        <v>0</v>
      </c>
      <c r="BJ127" s="11">
        <f>F127*G127</f>
        <v>0</v>
      </c>
      <c r="BK127" s="12" t="s">
        <v>64</v>
      </c>
      <c r="BL127" s="11">
        <v>95</v>
      </c>
      <c r="BW127" s="11">
        <v>21</v>
      </c>
      <c r="BX127" s="3" t="s">
        <v>411</v>
      </c>
    </row>
    <row r="128" spans="1:76">
      <c r="A128" s="13" t="s">
        <v>52</v>
      </c>
      <c r="B128" s="100" t="s">
        <v>414</v>
      </c>
      <c r="C128" s="101" t="s">
        <v>415</v>
      </c>
      <c r="D128" s="102"/>
      <c r="E128" s="103" t="s">
        <v>4</v>
      </c>
      <c r="F128" s="103" t="s">
        <v>4</v>
      </c>
      <c r="G128" s="97" t="s">
        <v>4</v>
      </c>
      <c r="H128" s="104">
        <f>SUM(H129:H129)</f>
        <v>0</v>
      </c>
      <c r="I128" s="104">
        <f>SUM(I129:I129)</f>
        <v>0</v>
      </c>
      <c r="J128" s="104">
        <f>SUM(J129:J129)</f>
        <v>0</v>
      </c>
      <c r="K128" s="14" t="s">
        <v>52</v>
      </c>
      <c r="AI128" s="6" t="s">
        <v>56</v>
      </c>
      <c r="AS128" s="1">
        <f>SUM(AJ129:AJ129)</f>
        <v>0</v>
      </c>
      <c r="AT128" s="1">
        <f>SUM(AK129:AK129)</f>
        <v>0</v>
      </c>
      <c r="AU128" s="1">
        <f>SUM(AL129:AL129)</f>
        <v>0</v>
      </c>
    </row>
    <row r="129" spans="1:76">
      <c r="A129" s="29" t="s">
        <v>416</v>
      </c>
      <c r="B129" s="30" t="s">
        <v>417</v>
      </c>
      <c r="C129" s="105" t="s">
        <v>418</v>
      </c>
      <c r="D129" s="70"/>
      <c r="E129" s="30" t="s">
        <v>60</v>
      </c>
      <c r="F129" s="106">
        <v>1</v>
      </c>
      <c r="G129" s="107">
        <v>0</v>
      </c>
      <c r="H129" s="106">
        <f>ROUND(F129*AO129,2)</f>
        <v>0</v>
      </c>
      <c r="I129" s="106">
        <f>ROUND(F129*AP129,2)</f>
        <v>0</v>
      </c>
      <c r="J129" s="106">
        <f>ROUND(F129*G129,2)</f>
        <v>0</v>
      </c>
      <c r="K129" s="108" t="s">
        <v>111</v>
      </c>
      <c r="Z129" s="11">
        <f>ROUND(IF(AQ129="5",BJ129,0),2)</f>
        <v>0</v>
      </c>
      <c r="AB129" s="11">
        <f>ROUND(IF(AQ129="1",BH129,0),2)</f>
        <v>0</v>
      </c>
      <c r="AC129" s="11">
        <f>ROUND(IF(AQ129="1",BI129,0),2)</f>
        <v>0</v>
      </c>
      <c r="AD129" s="11">
        <f>ROUND(IF(AQ129="7",BH129,0),2)</f>
        <v>0</v>
      </c>
      <c r="AE129" s="11">
        <f>ROUND(IF(AQ129="7",BI129,0),2)</f>
        <v>0</v>
      </c>
      <c r="AF129" s="11">
        <f>ROUND(IF(AQ129="2",BH129,0),2)</f>
        <v>0</v>
      </c>
      <c r="AG129" s="11">
        <f>ROUND(IF(AQ129="2",BI129,0),2)</f>
        <v>0</v>
      </c>
      <c r="AH129" s="11">
        <f>ROUND(IF(AQ129="0",BJ129,0),2)</f>
        <v>0</v>
      </c>
      <c r="AI129" s="6" t="s">
        <v>56</v>
      </c>
      <c r="AJ129" s="11">
        <f>IF(AN129=0,J129,0)</f>
        <v>0</v>
      </c>
      <c r="AK129" s="11">
        <f>IF(AN129=12,J129,0)</f>
        <v>0</v>
      </c>
      <c r="AL129" s="11">
        <f>IF(AN129=21,J129,0)</f>
        <v>0</v>
      </c>
      <c r="AN129" s="11">
        <v>21</v>
      </c>
      <c r="AO129" s="11">
        <f>G129*0</f>
        <v>0</v>
      </c>
      <c r="AP129" s="11">
        <f>G129*(1-0)</f>
        <v>0</v>
      </c>
      <c r="AQ129" s="12" t="s">
        <v>65</v>
      </c>
      <c r="AV129" s="11">
        <f>ROUND(AW129+AX129,2)</f>
        <v>0</v>
      </c>
      <c r="AW129" s="11">
        <f>ROUND(F129*AO129,2)</f>
        <v>0</v>
      </c>
      <c r="AX129" s="11">
        <f>ROUND(F129*AP129,2)</f>
        <v>0</v>
      </c>
      <c r="AY129" s="12" t="s">
        <v>419</v>
      </c>
      <c r="AZ129" s="12" t="s">
        <v>413</v>
      </c>
      <c r="BA129" s="6" t="s">
        <v>63</v>
      </c>
      <c r="BC129" s="11">
        <f>AW129+AX129</f>
        <v>0</v>
      </c>
      <c r="BD129" s="11">
        <f>G129/(100-BE129)*100</f>
        <v>0</v>
      </c>
      <c r="BE129" s="11">
        <v>0</v>
      </c>
      <c r="BF129" s="11">
        <f>129</f>
        <v>129</v>
      </c>
      <c r="BH129" s="11">
        <f>F129*AO129</f>
        <v>0</v>
      </c>
      <c r="BI129" s="11">
        <f>F129*AP129</f>
        <v>0</v>
      </c>
      <c r="BJ129" s="11">
        <f>F129*G129</f>
        <v>0</v>
      </c>
      <c r="BK129" s="12" t="s">
        <v>64</v>
      </c>
      <c r="BL129" s="11"/>
      <c r="BW129" s="11">
        <v>21</v>
      </c>
      <c r="BX129" s="3" t="s">
        <v>418</v>
      </c>
    </row>
    <row r="130" spans="1:76">
      <c r="A130" s="13" t="s">
        <v>52</v>
      </c>
      <c r="B130" s="100" t="s">
        <v>52</v>
      </c>
      <c r="C130" s="101" t="s">
        <v>420</v>
      </c>
      <c r="D130" s="102"/>
      <c r="E130" s="103" t="s">
        <v>4</v>
      </c>
      <c r="F130" s="103" t="s">
        <v>4</v>
      </c>
      <c r="G130" s="97" t="s">
        <v>4</v>
      </c>
      <c r="H130" s="104">
        <f>SUM(H131:H135)</f>
        <v>0</v>
      </c>
      <c r="I130" s="104">
        <f>SUM(I131:I135)</f>
        <v>0</v>
      </c>
      <c r="J130" s="104">
        <f>SUM(J131:J135)</f>
        <v>0</v>
      </c>
      <c r="K130" s="14" t="s">
        <v>52</v>
      </c>
      <c r="AI130" s="6" t="s">
        <v>56</v>
      </c>
      <c r="AS130" s="1">
        <f>SUM(AJ131:AJ135)</f>
        <v>0</v>
      </c>
      <c r="AT130" s="1">
        <f>SUM(AK131:AK135)</f>
        <v>0</v>
      </c>
      <c r="AU130" s="1">
        <f>SUM(AL131:AL135)</f>
        <v>0</v>
      </c>
    </row>
    <row r="131" spans="1:76">
      <c r="A131" s="29" t="s">
        <v>421</v>
      </c>
      <c r="B131" s="30" t="s">
        <v>422</v>
      </c>
      <c r="C131" s="105" t="s">
        <v>423</v>
      </c>
      <c r="D131" s="70"/>
      <c r="E131" s="30" t="s">
        <v>424</v>
      </c>
      <c r="F131" s="106">
        <v>2</v>
      </c>
      <c r="G131" s="107">
        <v>0</v>
      </c>
      <c r="H131" s="106">
        <f>ROUND(F131*AO131,2)</f>
        <v>0</v>
      </c>
      <c r="I131" s="106">
        <f>ROUND(F131*AP131,2)</f>
        <v>0</v>
      </c>
      <c r="J131" s="106">
        <f>ROUND(F131*G131,2)</f>
        <v>0</v>
      </c>
      <c r="K131" s="108" t="s">
        <v>425</v>
      </c>
      <c r="Z131" s="11">
        <f>ROUND(IF(AQ131="5",BJ131,0),2)</f>
        <v>0</v>
      </c>
      <c r="AB131" s="11">
        <f>ROUND(IF(AQ131="1",BH131,0),2)</f>
        <v>0</v>
      </c>
      <c r="AC131" s="11">
        <f>ROUND(IF(AQ131="1",BI131,0),2)</f>
        <v>0</v>
      </c>
      <c r="AD131" s="11">
        <f>ROUND(IF(AQ131="7",BH131,0),2)</f>
        <v>0</v>
      </c>
      <c r="AE131" s="11">
        <f>ROUND(IF(AQ131="7",BI131,0),2)</f>
        <v>0</v>
      </c>
      <c r="AF131" s="11">
        <f>ROUND(IF(AQ131="2",BH131,0),2)</f>
        <v>0</v>
      </c>
      <c r="AG131" s="11">
        <f>ROUND(IF(AQ131="2",BI131,0),2)</f>
        <v>0</v>
      </c>
      <c r="AH131" s="11">
        <f>ROUND(IF(AQ131="0",BJ131,0),2)</f>
        <v>0</v>
      </c>
      <c r="AI131" s="6" t="s">
        <v>56</v>
      </c>
      <c r="AJ131" s="11">
        <f>IF(AN131=0,J131,0)</f>
        <v>0</v>
      </c>
      <c r="AK131" s="11">
        <f>IF(AN131=12,J131,0)</f>
        <v>0</v>
      </c>
      <c r="AL131" s="11">
        <f>IF(AN131=21,J131,0)</f>
        <v>0</v>
      </c>
      <c r="AN131" s="11">
        <v>21</v>
      </c>
      <c r="AO131" s="11">
        <f>G131*0</f>
        <v>0</v>
      </c>
      <c r="AP131" s="11">
        <f>G131*(1-0)</f>
        <v>0</v>
      </c>
      <c r="AQ131" s="12" t="s">
        <v>57</v>
      </c>
      <c r="AV131" s="11">
        <f>ROUND(AW131+AX131,2)</f>
        <v>0</v>
      </c>
      <c r="AW131" s="11">
        <f>ROUND(F131*AO131,2)</f>
        <v>0</v>
      </c>
      <c r="AX131" s="11">
        <f>ROUND(F131*AP131,2)</f>
        <v>0</v>
      </c>
      <c r="AY131" s="12" t="s">
        <v>426</v>
      </c>
      <c r="AZ131" s="12" t="s">
        <v>427</v>
      </c>
      <c r="BA131" s="6" t="s">
        <v>63</v>
      </c>
      <c r="BC131" s="11">
        <f>AW131+AX131</f>
        <v>0</v>
      </c>
      <c r="BD131" s="11">
        <f>G131/(100-BE131)*100</f>
        <v>0</v>
      </c>
      <c r="BE131" s="11">
        <v>0</v>
      </c>
      <c r="BF131" s="11">
        <f>131</f>
        <v>131</v>
      </c>
      <c r="BH131" s="11">
        <f>F131*AO131</f>
        <v>0</v>
      </c>
      <c r="BI131" s="11">
        <f>F131*AP131</f>
        <v>0</v>
      </c>
      <c r="BJ131" s="11">
        <f>F131*G131</f>
        <v>0</v>
      </c>
      <c r="BK131" s="12" t="s">
        <v>64</v>
      </c>
      <c r="BL131" s="11"/>
      <c r="BW131" s="11">
        <v>21</v>
      </c>
      <c r="BX131" s="3" t="s">
        <v>423</v>
      </c>
    </row>
    <row r="132" spans="1:76">
      <c r="A132" s="29" t="s">
        <v>428</v>
      </c>
      <c r="B132" s="2" t="s">
        <v>429</v>
      </c>
      <c r="C132" s="40" t="s">
        <v>430</v>
      </c>
      <c r="D132" s="38"/>
      <c r="E132" s="2" t="s">
        <v>254</v>
      </c>
      <c r="F132" s="11">
        <v>1</v>
      </c>
      <c r="G132" s="109">
        <v>0</v>
      </c>
      <c r="H132" s="11">
        <f>ROUND(F132*AO132,2)</f>
        <v>0</v>
      </c>
      <c r="I132" s="11">
        <f>ROUND(F132*AP132,2)</f>
        <v>0</v>
      </c>
      <c r="J132" s="11">
        <f>ROUND(F132*G132,2)</f>
        <v>0</v>
      </c>
      <c r="K132" s="108" t="s">
        <v>425</v>
      </c>
      <c r="Z132" s="11">
        <f>ROUND(IF(AQ132="5",BJ132,0),2)</f>
        <v>0</v>
      </c>
      <c r="AB132" s="11">
        <f>ROUND(IF(AQ132="1",BH132,0),2)</f>
        <v>0</v>
      </c>
      <c r="AC132" s="11">
        <f>ROUND(IF(AQ132="1",BI132,0),2)</f>
        <v>0</v>
      </c>
      <c r="AD132" s="11">
        <f>ROUND(IF(AQ132="7",BH132,0),2)</f>
        <v>0</v>
      </c>
      <c r="AE132" s="11">
        <f>ROUND(IF(AQ132="7",BI132,0),2)</f>
        <v>0</v>
      </c>
      <c r="AF132" s="11">
        <f>ROUND(IF(AQ132="2",BH132,0),2)</f>
        <v>0</v>
      </c>
      <c r="AG132" s="11">
        <f>ROUND(IF(AQ132="2",BI132,0),2)</f>
        <v>0</v>
      </c>
      <c r="AH132" s="11">
        <f>ROUND(IF(AQ132="0",BJ132,0),2)</f>
        <v>0</v>
      </c>
      <c r="AI132" s="6" t="s">
        <v>56</v>
      </c>
      <c r="AJ132" s="11">
        <f>IF(AN132=0,J132,0)</f>
        <v>0</v>
      </c>
      <c r="AK132" s="11">
        <f>IF(AN132=12,J132,0)</f>
        <v>0</v>
      </c>
      <c r="AL132" s="11">
        <f>IF(AN132=21,J132,0)</f>
        <v>0</v>
      </c>
      <c r="AN132" s="11">
        <v>21</v>
      </c>
      <c r="AO132" s="11">
        <f>G132*0</f>
        <v>0</v>
      </c>
      <c r="AP132" s="11">
        <f>G132*(1-0)</f>
        <v>0</v>
      </c>
      <c r="AQ132" s="12" t="s">
        <v>57</v>
      </c>
      <c r="AV132" s="11">
        <f>ROUND(AW132+AX132,2)</f>
        <v>0</v>
      </c>
      <c r="AW132" s="11">
        <f>ROUND(F132*AO132,2)</f>
        <v>0</v>
      </c>
      <c r="AX132" s="11">
        <f>ROUND(F132*AP132,2)</f>
        <v>0</v>
      </c>
      <c r="AY132" s="12" t="s">
        <v>426</v>
      </c>
      <c r="AZ132" s="12" t="s">
        <v>427</v>
      </c>
      <c r="BA132" s="6" t="s">
        <v>63</v>
      </c>
      <c r="BC132" s="11">
        <f>AW132+AX132</f>
        <v>0</v>
      </c>
      <c r="BD132" s="11">
        <f>G132/(100-BE132)*100</f>
        <v>0</v>
      </c>
      <c r="BE132" s="11">
        <v>0</v>
      </c>
      <c r="BF132" s="11">
        <f>132</f>
        <v>132</v>
      </c>
      <c r="BH132" s="11">
        <f>F132*AO132</f>
        <v>0</v>
      </c>
      <c r="BI132" s="11">
        <f>F132*AP132</f>
        <v>0</v>
      </c>
      <c r="BJ132" s="11">
        <f>F132*G132</f>
        <v>0</v>
      </c>
      <c r="BK132" s="12" t="s">
        <v>64</v>
      </c>
      <c r="BL132" s="11"/>
      <c r="BW132" s="11">
        <v>21</v>
      </c>
      <c r="BX132" s="3" t="s">
        <v>430</v>
      </c>
    </row>
    <row r="133" spans="1:76">
      <c r="A133" s="29" t="s">
        <v>431</v>
      </c>
      <c r="B133" s="2" t="s">
        <v>432</v>
      </c>
      <c r="C133" s="40" t="s">
        <v>433</v>
      </c>
      <c r="D133" s="38"/>
      <c r="E133" s="2" t="s">
        <v>254</v>
      </c>
      <c r="F133" s="11">
        <v>1</v>
      </c>
      <c r="G133" s="109">
        <v>0</v>
      </c>
      <c r="H133" s="11">
        <f>ROUND(F133*AO133,2)</f>
        <v>0</v>
      </c>
      <c r="I133" s="11">
        <f>ROUND(F133*AP133,2)</f>
        <v>0</v>
      </c>
      <c r="J133" s="11">
        <f>ROUND(F133*G133,2)</f>
        <v>0</v>
      </c>
      <c r="K133" s="108" t="s">
        <v>425</v>
      </c>
      <c r="Z133" s="11">
        <f>ROUND(IF(AQ133="5",BJ133,0),2)</f>
        <v>0</v>
      </c>
      <c r="AB133" s="11">
        <f>ROUND(IF(AQ133="1",BH133,0),2)</f>
        <v>0</v>
      </c>
      <c r="AC133" s="11">
        <f>ROUND(IF(AQ133="1",BI133,0),2)</f>
        <v>0</v>
      </c>
      <c r="AD133" s="11">
        <f>ROUND(IF(AQ133="7",BH133,0),2)</f>
        <v>0</v>
      </c>
      <c r="AE133" s="11">
        <f>ROUND(IF(AQ133="7",BI133,0),2)</f>
        <v>0</v>
      </c>
      <c r="AF133" s="11">
        <f>ROUND(IF(AQ133="2",BH133,0),2)</f>
        <v>0</v>
      </c>
      <c r="AG133" s="11">
        <f>ROUND(IF(AQ133="2",BI133,0),2)</f>
        <v>0</v>
      </c>
      <c r="AH133" s="11">
        <f>ROUND(IF(AQ133="0",BJ133,0),2)</f>
        <v>0</v>
      </c>
      <c r="AI133" s="6" t="s">
        <v>56</v>
      </c>
      <c r="AJ133" s="11">
        <f>IF(AN133=0,J133,0)</f>
        <v>0</v>
      </c>
      <c r="AK133" s="11">
        <f>IF(AN133=12,J133,0)</f>
        <v>0</v>
      </c>
      <c r="AL133" s="11">
        <f>IF(AN133=21,J133,0)</f>
        <v>0</v>
      </c>
      <c r="AN133" s="11">
        <v>21</v>
      </c>
      <c r="AO133" s="11">
        <f>G133*0</f>
        <v>0</v>
      </c>
      <c r="AP133" s="11">
        <f>G133*(1-0)</f>
        <v>0</v>
      </c>
      <c r="AQ133" s="12" t="s">
        <v>57</v>
      </c>
      <c r="AV133" s="11">
        <f>ROUND(AW133+AX133,2)</f>
        <v>0</v>
      </c>
      <c r="AW133" s="11">
        <f>ROUND(F133*AO133,2)</f>
        <v>0</v>
      </c>
      <c r="AX133" s="11">
        <f>ROUND(F133*AP133,2)</f>
        <v>0</v>
      </c>
      <c r="AY133" s="12" t="s">
        <v>426</v>
      </c>
      <c r="AZ133" s="12" t="s">
        <v>427</v>
      </c>
      <c r="BA133" s="6" t="s">
        <v>63</v>
      </c>
      <c r="BC133" s="11">
        <f>AW133+AX133</f>
        <v>0</v>
      </c>
      <c r="BD133" s="11">
        <f>G133/(100-BE133)*100</f>
        <v>0</v>
      </c>
      <c r="BE133" s="11">
        <v>0</v>
      </c>
      <c r="BF133" s="11">
        <f>133</f>
        <v>133</v>
      </c>
      <c r="BH133" s="11">
        <f>F133*AO133</f>
        <v>0</v>
      </c>
      <c r="BI133" s="11">
        <f>F133*AP133</f>
        <v>0</v>
      </c>
      <c r="BJ133" s="11">
        <f>F133*G133</f>
        <v>0</v>
      </c>
      <c r="BK133" s="12" t="s">
        <v>64</v>
      </c>
      <c r="BL133" s="11"/>
      <c r="BW133" s="11">
        <v>21</v>
      </c>
      <c r="BX133" s="3" t="s">
        <v>433</v>
      </c>
    </row>
    <row r="134" spans="1:76">
      <c r="A134" s="29" t="s">
        <v>434</v>
      </c>
      <c r="B134" s="2" t="s">
        <v>435</v>
      </c>
      <c r="C134" s="40" t="s">
        <v>436</v>
      </c>
      <c r="D134" s="38"/>
      <c r="E134" s="2" t="s">
        <v>424</v>
      </c>
      <c r="F134" s="11">
        <v>4</v>
      </c>
      <c r="G134" s="109">
        <v>0</v>
      </c>
      <c r="H134" s="11">
        <f>ROUND(F134*AO134,2)</f>
        <v>0</v>
      </c>
      <c r="I134" s="11">
        <f>ROUND(F134*AP134,2)</f>
        <v>0</v>
      </c>
      <c r="J134" s="11">
        <f>ROUND(F134*G134,2)</f>
        <v>0</v>
      </c>
      <c r="K134" s="108" t="s">
        <v>425</v>
      </c>
      <c r="Z134" s="11">
        <f>ROUND(IF(AQ134="5",BJ134,0),2)</f>
        <v>0</v>
      </c>
      <c r="AB134" s="11">
        <f>ROUND(IF(AQ134="1",BH134,0),2)</f>
        <v>0</v>
      </c>
      <c r="AC134" s="11">
        <f>ROUND(IF(AQ134="1",BI134,0),2)</f>
        <v>0</v>
      </c>
      <c r="AD134" s="11">
        <f>ROUND(IF(AQ134="7",BH134,0),2)</f>
        <v>0</v>
      </c>
      <c r="AE134" s="11">
        <f>ROUND(IF(AQ134="7",BI134,0),2)</f>
        <v>0</v>
      </c>
      <c r="AF134" s="11">
        <f>ROUND(IF(AQ134="2",BH134,0),2)</f>
        <v>0</v>
      </c>
      <c r="AG134" s="11">
        <f>ROUND(IF(AQ134="2",BI134,0),2)</f>
        <v>0</v>
      </c>
      <c r="AH134" s="11">
        <f>ROUND(IF(AQ134="0",BJ134,0),2)</f>
        <v>0</v>
      </c>
      <c r="AI134" s="6" t="s">
        <v>56</v>
      </c>
      <c r="AJ134" s="11">
        <f>IF(AN134=0,J134,0)</f>
        <v>0</v>
      </c>
      <c r="AK134" s="11">
        <f>IF(AN134=12,J134,0)</f>
        <v>0</v>
      </c>
      <c r="AL134" s="11">
        <f>IF(AN134=21,J134,0)</f>
        <v>0</v>
      </c>
      <c r="AN134" s="11">
        <v>21</v>
      </c>
      <c r="AO134" s="11">
        <f>G134*0</f>
        <v>0</v>
      </c>
      <c r="AP134" s="11">
        <f>G134*(1-0)</f>
        <v>0</v>
      </c>
      <c r="AQ134" s="12" t="s">
        <v>57</v>
      </c>
      <c r="AV134" s="11">
        <f>ROUND(AW134+AX134,2)</f>
        <v>0</v>
      </c>
      <c r="AW134" s="11">
        <f>ROUND(F134*AO134,2)</f>
        <v>0</v>
      </c>
      <c r="AX134" s="11">
        <f>ROUND(F134*AP134,2)</f>
        <v>0</v>
      </c>
      <c r="AY134" s="12" t="s">
        <v>426</v>
      </c>
      <c r="AZ134" s="12" t="s">
        <v>427</v>
      </c>
      <c r="BA134" s="6" t="s">
        <v>63</v>
      </c>
      <c r="BC134" s="11">
        <f>AW134+AX134</f>
        <v>0</v>
      </c>
      <c r="BD134" s="11">
        <f>G134/(100-BE134)*100</f>
        <v>0</v>
      </c>
      <c r="BE134" s="11">
        <v>0</v>
      </c>
      <c r="BF134" s="11">
        <f>134</f>
        <v>134</v>
      </c>
      <c r="BH134" s="11">
        <f>F134*AO134</f>
        <v>0</v>
      </c>
      <c r="BI134" s="11">
        <f>F134*AP134</f>
        <v>0</v>
      </c>
      <c r="BJ134" s="11">
        <f>F134*G134</f>
        <v>0</v>
      </c>
      <c r="BK134" s="12" t="s">
        <v>64</v>
      </c>
      <c r="BL134" s="11"/>
      <c r="BW134" s="11">
        <v>21</v>
      </c>
      <c r="BX134" s="3" t="s">
        <v>436</v>
      </c>
    </row>
    <row r="135" spans="1:76">
      <c r="A135" s="29" t="s">
        <v>437</v>
      </c>
      <c r="B135" s="30" t="s">
        <v>438</v>
      </c>
      <c r="C135" s="105" t="s">
        <v>439</v>
      </c>
      <c r="D135" s="70"/>
      <c r="E135" s="30" t="s">
        <v>254</v>
      </c>
      <c r="F135" s="106">
        <v>1</v>
      </c>
      <c r="G135" s="107">
        <v>0</v>
      </c>
      <c r="H135" s="106">
        <f>ROUND(F135*AO135,2)</f>
        <v>0</v>
      </c>
      <c r="I135" s="106">
        <f>ROUND(F135*AP135,2)</f>
        <v>0</v>
      </c>
      <c r="J135" s="106">
        <f>ROUND(F135*G135,2)</f>
        <v>0</v>
      </c>
      <c r="K135" s="108" t="s">
        <v>425</v>
      </c>
      <c r="Z135" s="11">
        <f>ROUND(IF(AQ135="5",BJ135,0),2)</f>
        <v>0</v>
      </c>
      <c r="AB135" s="11">
        <f>ROUND(IF(AQ135="1",BH135,0),2)</f>
        <v>0</v>
      </c>
      <c r="AC135" s="11">
        <f>ROUND(IF(AQ135="1",BI135,0),2)</f>
        <v>0</v>
      </c>
      <c r="AD135" s="11">
        <f>ROUND(IF(AQ135="7",BH135,0),2)</f>
        <v>0</v>
      </c>
      <c r="AE135" s="11">
        <f>ROUND(IF(AQ135="7",BI135,0),2)</f>
        <v>0</v>
      </c>
      <c r="AF135" s="11">
        <f>ROUND(IF(AQ135="2",BH135,0),2)</f>
        <v>0</v>
      </c>
      <c r="AG135" s="11">
        <f>ROUND(IF(AQ135="2",BI135,0),2)</f>
        <v>0</v>
      </c>
      <c r="AH135" s="11">
        <f>ROUND(IF(AQ135="0",BJ135,0),2)</f>
        <v>0</v>
      </c>
      <c r="AI135" s="6" t="s">
        <v>56</v>
      </c>
      <c r="AJ135" s="11">
        <f>IF(AN135=0,J135,0)</f>
        <v>0</v>
      </c>
      <c r="AK135" s="11">
        <f>IF(AN135=12,J135,0)</f>
        <v>0</v>
      </c>
      <c r="AL135" s="11">
        <f>IF(AN135=21,J135,0)</f>
        <v>0</v>
      </c>
      <c r="AN135" s="11">
        <v>21</v>
      </c>
      <c r="AO135" s="11">
        <f>G135*0</f>
        <v>0</v>
      </c>
      <c r="AP135" s="11">
        <f>G135*(1-0)</f>
        <v>0</v>
      </c>
      <c r="AQ135" s="12" t="s">
        <v>57</v>
      </c>
      <c r="AV135" s="11">
        <f>ROUND(AW135+AX135,2)</f>
        <v>0</v>
      </c>
      <c r="AW135" s="11">
        <f>ROUND(F135*AO135,2)</f>
        <v>0</v>
      </c>
      <c r="AX135" s="11">
        <f>ROUND(F135*AP135,2)</f>
        <v>0</v>
      </c>
      <c r="AY135" s="12" t="s">
        <v>426</v>
      </c>
      <c r="AZ135" s="12" t="s">
        <v>427</v>
      </c>
      <c r="BA135" s="6" t="s">
        <v>63</v>
      </c>
      <c r="BC135" s="11">
        <f>AW135+AX135</f>
        <v>0</v>
      </c>
      <c r="BD135" s="11">
        <f>G135/(100-BE135)*100</f>
        <v>0</v>
      </c>
      <c r="BE135" s="11">
        <v>0</v>
      </c>
      <c r="BF135" s="11">
        <f>135</f>
        <v>135</v>
      </c>
      <c r="BH135" s="11">
        <f>F135*AO135</f>
        <v>0</v>
      </c>
      <c r="BI135" s="11">
        <f>F135*AP135</f>
        <v>0</v>
      </c>
      <c r="BJ135" s="11">
        <f>F135*G135</f>
        <v>0</v>
      </c>
      <c r="BK135" s="12" t="s">
        <v>64</v>
      </c>
      <c r="BL135" s="11"/>
      <c r="BW135" s="11">
        <v>21</v>
      </c>
      <c r="BX135" s="3" t="s">
        <v>439</v>
      </c>
    </row>
    <row r="136" spans="1:76">
      <c r="A136" s="13" t="s">
        <v>52</v>
      </c>
      <c r="B136" s="100" t="s">
        <v>440</v>
      </c>
      <c r="C136" s="101" t="s">
        <v>441</v>
      </c>
      <c r="D136" s="102"/>
      <c r="E136" s="103" t="s">
        <v>4</v>
      </c>
      <c r="F136" s="103" t="s">
        <v>4</v>
      </c>
      <c r="G136" s="97" t="s">
        <v>4</v>
      </c>
      <c r="H136" s="104">
        <f>H137</f>
        <v>0</v>
      </c>
      <c r="I136" s="104">
        <f>I137</f>
        <v>0</v>
      </c>
      <c r="J136" s="104">
        <f>J137</f>
        <v>0</v>
      </c>
      <c r="K136" s="14" t="s">
        <v>52</v>
      </c>
      <c r="AI136" s="6" t="s">
        <v>56</v>
      </c>
    </row>
    <row r="137" spans="1:76">
      <c r="A137" s="13" t="s">
        <v>52</v>
      </c>
      <c r="B137" s="100" t="s">
        <v>442</v>
      </c>
      <c r="C137" s="101" t="s">
        <v>52</v>
      </c>
      <c r="D137" s="102"/>
      <c r="E137" s="103" t="s">
        <v>4</v>
      </c>
      <c r="F137" s="103" t="s">
        <v>4</v>
      </c>
      <c r="G137" s="97" t="s">
        <v>4</v>
      </c>
      <c r="H137" s="104">
        <f>SUM(H138:H143)</f>
        <v>0</v>
      </c>
      <c r="I137" s="104">
        <f>SUM(I138:I143)</f>
        <v>0</v>
      </c>
      <c r="J137" s="104">
        <f>SUM(J138:J143)</f>
        <v>0</v>
      </c>
      <c r="K137" s="14" t="s">
        <v>52</v>
      </c>
      <c r="AI137" s="6" t="s">
        <v>56</v>
      </c>
      <c r="AS137" s="1">
        <f>SUM(AJ138:AJ143)</f>
        <v>0</v>
      </c>
      <c r="AT137" s="1">
        <f>SUM(AK138:AK143)</f>
        <v>0</v>
      </c>
      <c r="AU137" s="1">
        <f>SUM(AL138:AL143)</f>
        <v>0</v>
      </c>
    </row>
    <row r="138" spans="1:76">
      <c r="A138" s="29" t="s">
        <v>443</v>
      </c>
      <c r="B138" s="30" t="s">
        <v>444</v>
      </c>
      <c r="C138" s="105" t="s">
        <v>445</v>
      </c>
      <c r="D138" s="70"/>
      <c r="E138" s="30" t="s">
        <v>254</v>
      </c>
      <c r="F138" s="106">
        <v>1</v>
      </c>
      <c r="G138" s="107">
        <v>0</v>
      </c>
      <c r="H138" s="106">
        <f>ROUND(F138*AO138,2)</f>
        <v>0</v>
      </c>
      <c r="I138" s="106">
        <f>ROUND(F138*AP138,2)</f>
        <v>0</v>
      </c>
      <c r="J138" s="106">
        <f>ROUND(F138*G138,2)</f>
        <v>0</v>
      </c>
      <c r="K138" s="108" t="s">
        <v>52</v>
      </c>
      <c r="Z138" s="11">
        <f>ROUND(IF(AQ138="5",BJ138,0),2)</f>
        <v>0</v>
      </c>
      <c r="AB138" s="11">
        <f>ROUND(IF(AQ138="1",BH138,0),2)</f>
        <v>0</v>
      </c>
      <c r="AC138" s="11">
        <f>ROUND(IF(AQ138="1",BI138,0),2)</f>
        <v>0</v>
      </c>
      <c r="AD138" s="11">
        <f>ROUND(IF(AQ138="7",BH138,0),2)</f>
        <v>0</v>
      </c>
      <c r="AE138" s="11">
        <f>ROUND(IF(AQ138="7",BI138,0),2)</f>
        <v>0</v>
      </c>
      <c r="AF138" s="11">
        <f>ROUND(IF(AQ138="2",BH138,0),2)</f>
        <v>0</v>
      </c>
      <c r="AG138" s="11">
        <f>ROUND(IF(AQ138="2",BI138,0),2)</f>
        <v>0</v>
      </c>
      <c r="AH138" s="11">
        <f>ROUND(IF(AQ138="0",BJ138,0),2)</f>
        <v>0</v>
      </c>
      <c r="AI138" s="6" t="s">
        <v>56</v>
      </c>
      <c r="AJ138" s="11">
        <f>IF(AN138=0,J138,0)</f>
        <v>0</v>
      </c>
      <c r="AK138" s="11">
        <f>IF(AN138=12,J138,0)</f>
        <v>0</v>
      </c>
      <c r="AL138" s="11">
        <f>IF(AN138=21,J138,0)</f>
        <v>0</v>
      </c>
      <c r="AN138" s="11">
        <v>21</v>
      </c>
      <c r="AO138" s="11">
        <f>G138*0</f>
        <v>0</v>
      </c>
      <c r="AP138" s="11">
        <f>G138*(1-0)</f>
        <v>0</v>
      </c>
      <c r="AQ138" s="12" t="s">
        <v>390</v>
      </c>
      <c r="AV138" s="11">
        <f>ROUND(AW138+AX138,2)</f>
        <v>0</v>
      </c>
      <c r="AW138" s="11">
        <f>ROUND(F138*AO138,2)</f>
        <v>0</v>
      </c>
      <c r="AX138" s="11">
        <f>ROUND(F138*AP138,2)</f>
        <v>0</v>
      </c>
      <c r="AY138" s="12" t="s">
        <v>446</v>
      </c>
      <c r="AZ138" s="12" t="s">
        <v>447</v>
      </c>
      <c r="BA138" s="6" t="s">
        <v>63</v>
      </c>
      <c r="BC138" s="11">
        <f>AW138+AX138</f>
        <v>0</v>
      </c>
      <c r="BD138" s="11">
        <f>G138/(100-BE138)*100</f>
        <v>0</v>
      </c>
      <c r="BE138" s="11">
        <v>0</v>
      </c>
      <c r="BF138" s="11">
        <f>138</f>
        <v>138</v>
      </c>
      <c r="BH138" s="11">
        <f>F138*AO138</f>
        <v>0</v>
      </c>
      <c r="BI138" s="11">
        <f>F138*AP138</f>
        <v>0</v>
      </c>
      <c r="BJ138" s="11">
        <f>F138*G138</f>
        <v>0</v>
      </c>
      <c r="BK138" s="12" t="s">
        <v>64</v>
      </c>
      <c r="BL138" s="11">
        <v>5</v>
      </c>
      <c r="BV138" s="11">
        <f>F138*G138</f>
        <v>0</v>
      </c>
      <c r="BW138" s="11">
        <v>21</v>
      </c>
      <c r="BX138" s="3" t="s">
        <v>445</v>
      </c>
    </row>
    <row r="139" spans="1:76">
      <c r="A139" s="29" t="s">
        <v>448</v>
      </c>
      <c r="B139" s="2" t="s">
        <v>449</v>
      </c>
      <c r="C139" s="40" t="s">
        <v>450</v>
      </c>
      <c r="D139" s="38"/>
      <c r="E139" s="2" t="s">
        <v>254</v>
      </c>
      <c r="F139" s="11">
        <v>1</v>
      </c>
      <c r="G139" s="109">
        <v>0</v>
      </c>
      <c r="H139" s="11">
        <f>ROUND(F139*AO139,2)</f>
        <v>0</v>
      </c>
      <c r="I139" s="11">
        <f>ROUND(F139*AP139,2)</f>
        <v>0</v>
      </c>
      <c r="J139" s="11">
        <f>ROUND(F139*G139,2)</f>
        <v>0</v>
      </c>
      <c r="K139" s="108" t="s">
        <v>52</v>
      </c>
      <c r="Z139" s="11">
        <f>ROUND(IF(AQ139="5",BJ139,0),2)</f>
        <v>0</v>
      </c>
      <c r="AB139" s="11">
        <f>ROUND(IF(AQ139="1",BH139,0),2)</f>
        <v>0</v>
      </c>
      <c r="AC139" s="11">
        <f>ROUND(IF(AQ139="1",BI139,0),2)</f>
        <v>0</v>
      </c>
      <c r="AD139" s="11">
        <f>ROUND(IF(AQ139="7",BH139,0),2)</f>
        <v>0</v>
      </c>
      <c r="AE139" s="11">
        <f>ROUND(IF(AQ139="7",BI139,0),2)</f>
        <v>0</v>
      </c>
      <c r="AF139" s="11">
        <f>ROUND(IF(AQ139="2",BH139,0),2)</f>
        <v>0</v>
      </c>
      <c r="AG139" s="11">
        <f>ROUND(IF(AQ139="2",BI139,0),2)</f>
        <v>0</v>
      </c>
      <c r="AH139" s="11">
        <f>ROUND(IF(AQ139="0",BJ139,0),2)</f>
        <v>0</v>
      </c>
      <c r="AI139" s="6" t="s">
        <v>56</v>
      </c>
      <c r="AJ139" s="11">
        <f>IF(AN139=0,J139,0)</f>
        <v>0</v>
      </c>
      <c r="AK139" s="11">
        <f>IF(AN139=12,J139,0)</f>
        <v>0</v>
      </c>
      <c r="AL139" s="11">
        <f>IF(AN139=21,J139,0)</f>
        <v>0</v>
      </c>
      <c r="AN139" s="11">
        <v>21</v>
      </c>
      <c r="AO139" s="11">
        <f>G139*0</f>
        <v>0</v>
      </c>
      <c r="AP139" s="11">
        <f>G139*(1-0)</f>
        <v>0</v>
      </c>
      <c r="AQ139" s="12" t="s">
        <v>390</v>
      </c>
      <c r="AV139" s="11">
        <f>ROUND(AW139+AX139,2)</f>
        <v>0</v>
      </c>
      <c r="AW139" s="11">
        <f>ROUND(F139*AO139,2)</f>
        <v>0</v>
      </c>
      <c r="AX139" s="11">
        <f>ROUND(F139*AP139,2)</f>
        <v>0</v>
      </c>
      <c r="AY139" s="12" t="s">
        <v>446</v>
      </c>
      <c r="AZ139" s="12" t="s">
        <v>447</v>
      </c>
      <c r="BA139" s="6" t="s">
        <v>63</v>
      </c>
      <c r="BC139" s="11">
        <f>AW139+AX139</f>
        <v>0</v>
      </c>
      <c r="BD139" s="11">
        <f>G139/(100-BE139)*100</f>
        <v>0</v>
      </c>
      <c r="BE139" s="11">
        <v>0</v>
      </c>
      <c r="BF139" s="11">
        <f>139</f>
        <v>139</v>
      </c>
      <c r="BH139" s="11">
        <f>F139*AO139</f>
        <v>0</v>
      </c>
      <c r="BI139" s="11">
        <f>F139*AP139</f>
        <v>0</v>
      </c>
      <c r="BJ139" s="11">
        <f>F139*G139</f>
        <v>0</v>
      </c>
      <c r="BK139" s="12" t="s">
        <v>64</v>
      </c>
      <c r="BL139" s="11">
        <v>5</v>
      </c>
      <c r="BV139" s="11">
        <f>F139*G139</f>
        <v>0</v>
      </c>
      <c r="BW139" s="11">
        <v>21</v>
      </c>
      <c r="BX139" s="3" t="s">
        <v>450</v>
      </c>
    </row>
    <row r="140" spans="1:76">
      <c r="A140" s="29" t="s">
        <v>451</v>
      </c>
      <c r="B140" s="2" t="s">
        <v>452</v>
      </c>
      <c r="C140" s="40" t="s">
        <v>453</v>
      </c>
      <c r="D140" s="38"/>
      <c r="E140" s="2" t="s">
        <v>254</v>
      </c>
      <c r="F140" s="11">
        <v>1</v>
      </c>
      <c r="G140" s="109">
        <v>0</v>
      </c>
      <c r="H140" s="11">
        <f>ROUND(F140*AO140,2)</f>
        <v>0</v>
      </c>
      <c r="I140" s="11">
        <f>ROUND(F140*AP140,2)</f>
        <v>0</v>
      </c>
      <c r="J140" s="11">
        <f>ROUND(F140*G140,2)</f>
        <v>0</v>
      </c>
      <c r="K140" s="108" t="s">
        <v>52</v>
      </c>
      <c r="Z140" s="11">
        <f>ROUND(IF(AQ140="5",BJ140,0),2)</f>
        <v>0</v>
      </c>
      <c r="AB140" s="11">
        <f>ROUND(IF(AQ140="1",BH140,0),2)</f>
        <v>0</v>
      </c>
      <c r="AC140" s="11">
        <f>ROUND(IF(AQ140="1",BI140,0),2)</f>
        <v>0</v>
      </c>
      <c r="AD140" s="11">
        <f>ROUND(IF(AQ140="7",BH140,0),2)</f>
        <v>0</v>
      </c>
      <c r="AE140" s="11">
        <f>ROUND(IF(AQ140="7",BI140,0),2)</f>
        <v>0</v>
      </c>
      <c r="AF140" s="11">
        <f>ROUND(IF(AQ140="2",BH140,0),2)</f>
        <v>0</v>
      </c>
      <c r="AG140" s="11">
        <f>ROUND(IF(AQ140="2",BI140,0),2)</f>
        <v>0</v>
      </c>
      <c r="AH140" s="11">
        <f>ROUND(IF(AQ140="0",BJ140,0),2)</f>
        <v>0</v>
      </c>
      <c r="AI140" s="6" t="s">
        <v>56</v>
      </c>
      <c r="AJ140" s="11">
        <f>IF(AN140=0,J140,0)</f>
        <v>0</v>
      </c>
      <c r="AK140" s="11">
        <f>IF(AN140=12,J140,0)</f>
        <v>0</v>
      </c>
      <c r="AL140" s="11">
        <f>IF(AN140=21,J140,0)</f>
        <v>0</v>
      </c>
      <c r="AN140" s="11">
        <v>21</v>
      </c>
      <c r="AO140" s="11">
        <f>G140*0</f>
        <v>0</v>
      </c>
      <c r="AP140" s="11">
        <f>G140*(1-0)</f>
        <v>0</v>
      </c>
      <c r="AQ140" s="12" t="s">
        <v>390</v>
      </c>
      <c r="AV140" s="11">
        <f>ROUND(AW140+AX140,2)</f>
        <v>0</v>
      </c>
      <c r="AW140" s="11">
        <f>ROUND(F140*AO140,2)</f>
        <v>0</v>
      </c>
      <c r="AX140" s="11">
        <f>ROUND(F140*AP140,2)</f>
        <v>0</v>
      </c>
      <c r="AY140" s="12" t="s">
        <v>446</v>
      </c>
      <c r="AZ140" s="12" t="s">
        <v>447</v>
      </c>
      <c r="BA140" s="6" t="s">
        <v>63</v>
      </c>
      <c r="BC140" s="11">
        <f>AW140+AX140</f>
        <v>0</v>
      </c>
      <c r="BD140" s="11">
        <f>G140/(100-BE140)*100</f>
        <v>0</v>
      </c>
      <c r="BE140" s="11">
        <v>0</v>
      </c>
      <c r="BF140" s="11">
        <f>140</f>
        <v>140</v>
      </c>
      <c r="BH140" s="11">
        <f>F140*AO140</f>
        <v>0</v>
      </c>
      <c r="BI140" s="11">
        <f>F140*AP140</f>
        <v>0</v>
      </c>
      <c r="BJ140" s="11">
        <f>F140*G140</f>
        <v>0</v>
      </c>
      <c r="BK140" s="12" t="s">
        <v>64</v>
      </c>
      <c r="BL140" s="11">
        <v>5</v>
      </c>
      <c r="BV140" s="11">
        <f>F140*G140</f>
        <v>0</v>
      </c>
      <c r="BW140" s="11">
        <v>21</v>
      </c>
      <c r="BX140" s="3" t="s">
        <v>453</v>
      </c>
    </row>
    <row r="141" spans="1:76">
      <c r="A141" s="29" t="s">
        <v>454</v>
      </c>
      <c r="B141" s="2" t="s">
        <v>455</v>
      </c>
      <c r="C141" s="40" t="s">
        <v>456</v>
      </c>
      <c r="D141" s="38"/>
      <c r="E141" s="2" t="s">
        <v>254</v>
      </c>
      <c r="F141" s="11">
        <v>1</v>
      </c>
      <c r="G141" s="109">
        <v>0</v>
      </c>
      <c r="H141" s="11">
        <f>ROUND(F141*AO141,2)</f>
        <v>0</v>
      </c>
      <c r="I141" s="11">
        <f>ROUND(F141*AP141,2)</f>
        <v>0</v>
      </c>
      <c r="J141" s="11">
        <f>ROUND(F141*G141,2)</f>
        <v>0</v>
      </c>
      <c r="K141" s="108" t="s">
        <v>52</v>
      </c>
      <c r="Z141" s="11">
        <f>ROUND(IF(AQ141="5",BJ141,0),2)</f>
        <v>0</v>
      </c>
      <c r="AB141" s="11">
        <f>ROUND(IF(AQ141="1",BH141,0),2)</f>
        <v>0</v>
      </c>
      <c r="AC141" s="11">
        <f>ROUND(IF(AQ141="1",BI141,0),2)</f>
        <v>0</v>
      </c>
      <c r="AD141" s="11">
        <f>ROUND(IF(AQ141="7",BH141,0),2)</f>
        <v>0</v>
      </c>
      <c r="AE141" s="11">
        <f>ROUND(IF(AQ141="7",BI141,0),2)</f>
        <v>0</v>
      </c>
      <c r="AF141" s="11">
        <f>ROUND(IF(AQ141="2",BH141,0),2)</f>
        <v>0</v>
      </c>
      <c r="AG141" s="11">
        <f>ROUND(IF(AQ141="2",BI141,0),2)</f>
        <v>0</v>
      </c>
      <c r="AH141" s="11">
        <f>ROUND(IF(AQ141="0",BJ141,0),2)</f>
        <v>0</v>
      </c>
      <c r="AI141" s="6" t="s">
        <v>56</v>
      </c>
      <c r="AJ141" s="11">
        <f>IF(AN141=0,J141,0)</f>
        <v>0</v>
      </c>
      <c r="AK141" s="11">
        <f>IF(AN141=12,J141,0)</f>
        <v>0</v>
      </c>
      <c r="AL141" s="11">
        <f>IF(AN141=21,J141,0)</f>
        <v>0</v>
      </c>
      <c r="AN141" s="11">
        <v>21</v>
      </c>
      <c r="AO141" s="11">
        <f>G141*0</f>
        <v>0</v>
      </c>
      <c r="AP141" s="11">
        <f>G141*(1-0)</f>
        <v>0</v>
      </c>
      <c r="AQ141" s="12" t="s">
        <v>390</v>
      </c>
      <c r="AV141" s="11">
        <f>ROUND(AW141+AX141,2)</f>
        <v>0</v>
      </c>
      <c r="AW141" s="11">
        <f>ROUND(F141*AO141,2)</f>
        <v>0</v>
      </c>
      <c r="AX141" s="11">
        <f>ROUND(F141*AP141,2)</f>
        <v>0</v>
      </c>
      <c r="AY141" s="12" t="s">
        <v>446</v>
      </c>
      <c r="AZ141" s="12" t="s">
        <v>447</v>
      </c>
      <c r="BA141" s="6" t="s">
        <v>63</v>
      </c>
      <c r="BC141" s="11">
        <f>AW141+AX141</f>
        <v>0</v>
      </c>
      <c r="BD141" s="11">
        <f>G141/(100-BE141)*100</f>
        <v>0</v>
      </c>
      <c r="BE141" s="11">
        <v>0</v>
      </c>
      <c r="BF141" s="11">
        <f>141</f>
        <v>141</v>
      </c>
      <c r="BH141" s="11">
        <f>F141*AO141</f>
        <v>0</v>
      </c>
      <c r="BI141" s="11">
        <f>F141*AP141</f>
        <v>0</v>
      </c>
      <c r="BJ141" s="11">
        <f>F141*G141</f>
        <v>0</v>
      </c>
      <c r="BK141" s="12" t="s">
        <v>64</v>
      </c>
      <c r="BL141" s="11">
        <v>5</v>
      </c>
      <c r="BV141" s="11">
        <f>F141*G141</f>
        <v>0</v>
      </c>
      <c r="BW141" s="11">
        <v>21</v>
      </c>
      <c r="BX141" s="3" t="s">
        <v>456</v>
      </c>
    </row>
    <row r="142" spans="1:76">
      <c r="A142" s="29" t="s">
        <v>457</v>
      </c>
      <c r="B142" s="2" t="s">
        <v>458</v>
      </c>
      <c r="C142" s="40" t="s">
        <v>459</v>
      </c>
      <c r="D142" s="38"/>
      <c r="E142" s="2" t="s">
        <v>254</v>
      </c>
      <c r="F142" s="11">
        <v>1</v>
      </c>
      <c r="G142" s="109">
        <v>0</v>
      </c>
      <c r="H142" s="11">
        <f>ROUND(F142*AO142,2)</f>
        <v>0</v>
      </c>
      <c r="I142" s="11">
        <f>ROUND(F142*AP142,2)</f>
        <v>0</v>
      </c>
      <c r="J142" s="11">
        <f>ROUND(F142*G142,2)</f>
        <v>0</v>
      </c>
      <c r="K142" s="108" t="s">
        <v>52</v>
      </c>
      <c r="Z142" s="11">
        <f>ROUND(IF(AQ142="5",BJ142,0),2)</f>
        <v>0</v>
      </c>
      <c r="AB142" s="11">
        <f>ROUND(IF(AQ142="1",BH142,0),2)</f>
        <v>0</v>
      </c>
      <c r="AC142" s="11">
        <f>ROUND(IF(AQ142="1",BI142,0),2)</f>
        <v>0</v>
      </c>
      <c r="AD142" s="11">
        <f>ROUND(IF(AQ142="7",BH142,0),2)</f>
        <v>0</v>
      </c>
      <c r="AE142" s="11">
        <f>ROUND(IF(AQ142="7",BI142,0),2)</f>
        <v>0</v>
      </c>
      <c r="AF142" s="11">
        <f>ROUND(IF(AQ142="2",BH142,0),2)</f>
        <v>0</v>
      </c>
      <c r="AG142" s="11">
        <f>ROUND(IF(AQ142="2",BI142,0),2)</f>
        <v>0</v>
      </c>
      <c r="AH142" s="11">
        <f>ROUND(IF(AQ142="0",BJ142,0),2)</f>
        <v>0</v>
      </c>
      <c r="AI142" s="6" t="s">
        <v>56</v>
      </c>
      <c r="AJ142" s="11">
        <f>IF(AN142=0,J142,0)</f>
        <v>0</v>
      </c>
      <c r="AK142" s="11">
        <f>IF(AN142=12,J142,0)</f>
        <v>0</v>
      </c>
      <c r="AL142" s="11">
        <f>IF(AN142=21,J142,0)</f>
        <v>0</v>
      </c>
      <c r="AN142" s="11">
        <v>21</v>
      </c>
      <c r="AO142" s="11">
        <f>G142*1</f>
        <v>0</v>
      </c>
      <c r="AP142" s="11">
        <f>G142*(1-1)</f>
        <v>0</v>
      </c>
      <c r="AQ142" s="12" t="s">
        <v>390</v>
      </c>
      <c r="AV142" s="11">
        <f>ROUND(AW142+AX142,2)</f>
        <v>0</v>
      </c>
      <c r="AW142" s="11">
        <f>ROUND(F142*AO142,2)</f>
        <v>0</v>
      </c>
      <c r="AX142" s="11">
        <f>ROUND(F142*AP142,2)</f>
        <v>0</v>
      </c>
      <c r="AY142" s="12" t="s">
        <v>446</v>
      </c>
      <c r="AZ142" s="12" t="s">
        <v>447</v>
      </c>
      <c r="BA142" s="6" t="s">
        <v>63</v>
      </c>
      <c r="BC142" s="11">
        <f>AW142+AX142</f>
        <v>0</v>
      </c>
      <c r="BD142" s="11">
        <f>G142/(100-BE142)*100</f>
        <v>0</v>
      </c>
      <c r="BE142" s="11">
        <v>0</v>
      </c>
      <c r="BF142" s="11">
        <f>142</f>
        <v>142</v>
      </c>
      <c r="BH142" s="11">
        <f>F142*AO142</f>
        <v>0</v>
      </c>
      <c r="BI142" s="11">
        <f>F142*AP142</f>
        <v>0</v>
      </c>
      <c r="BJ142" s="11">
        <f>F142*G142</f>
        <v>0</v>
      </c>
      <c r="BK142" s="12" t="s">
        <v>64</v>
      </c>
      <c r="BL142" s="11">
        <v>5</v>
      </c>
      <c r="BV142" s="11">
        <f>F142*G142</f>
        <v>0</v>
      </c>
      <c r="BW142" s="11">
        <v>21</v>
      </c>
      <c r="BX142" s="3" t="s">
        <v>459</v>
      </c>
    </row>
    <row r="143" spans="1:76">
      <c r="A143" s="29" t="s">
        <v>460</v>
      </c>
      <c r="B143" s="30" t="s">
        <v>417</v>
      </c>
      <c r="C143" s="105" t="s">
        <v>418</v>
      </c>
      <c r="D143" s="70"/>
      <c r="E143" s="30" t="s">
        <v>60</v>
      </c>
      <c r="F143" s="106">
        <v>1</v>
      </c>
      <c r="G143" s="107">
        <v>0</v>
      </c>
      <c r="H143" s="106">
        <f>ROUND(F143*AO143,2)</f>
        <v>0</v>
      </c>
      <c r="I143" s="106">
        <f>ROUND(F143*AP143,2)</f>
        <v>0</v>
      </c>
      <c r="J143" s="106">
        <f>ROUND(F143*G143,2)</f>
        <v>0</v>
      </c>
      <c r="K143" s="108" t="s">
        <v>111</v>
      </c>
      <c r="Z143" s="11">
        <f>ROUND(IF(AQ143="5",BJ143,0),2)</f>
        <v>0</v>
      </c>
      <c r="AB143" s="11">
        <f>ROUND(IF(AQ143="1",BH143,0),2)</f>
        <v>0</v>
      </c>
      <c r="AC143" s="11">
        <f>ROUND(IF(AQ143="1",BI143,0),2)</f>
        <v>0</v>
      </c>
      <c r="AD143" s="11">
        <f>ROUND(IF(AQ143="7",BH143,0),2)</f>
        <v>0</v>
      </c>
      <c r="AE143" s="11">
        <f>ROUND(IF(AQ143="7",BI143,0),2)</f>
        <v>0</v>
      </c>
      <c r="AF143" s="11">
        <f>ROUND(IF(AQ143="2",BH143,0),2)</f>
        <v>0</v>
      </c>
      <c r="AG143" s="11">
        <f>ROUND(IF(AQ143="2",BI143,0),2)</f>
        <v>0</v>
      </c>
      <c r="AH143" s="11">
        <f>ROUND(IF(AQ143="0",BJ143,0),2)</f>
        <v>0</v>
      </c>
      <c r="AI143" s="6" t="s">
        <v>56</v>
      </c>
      <c r="AJ143" s="11">
        <f>IF(AN143=0,J143,0)</f>
        <v>0</v>
      </c>
      <c r="AK143" s="11">
        <f>IF(AN143=12,J143,0)</f>
        <v>0</v>
      </c>
      <c r="AL143" s="11">
        <f>IF(AN143=21,J143,0)</f>
        <v>0</v>
      </c>
      <c r="AN143" s="11">
        <v>21</v>
      </c>
      <c r="AO143" s="11">
        <f>G143*0</f>
        <v>0</v>
      </c>
      <c r="AP143" s="11">
        <f>G143*(1-0)</f>
        <v>0</v>
      </c>
      <c r="AQ143" s="12" t="s">
        <v>390</v>
      </c>
      <c r="AV143" s="11">
        <f>ROUND(AW143+AX143,2)</f>
        <v>0</v>
      </c>
      <c r="AW143" s="11">
        <f>ROUND(F143*AO143,2)</f>
        <v>0</v>
      </c>
      <c r="AX143" s="11">
        <f>ROUND(F143*AP143,2)</f>
        <v>0</v>
      </c>
      <c r="AY143" s="12" t="s">
        <v>446</v>
      </c>
      <c r="AZ143" s="12" t="s">
        <v>447</v>
      </c>
      <c r="BA143" s="6" t="s">
        <v>63</v>
      </c>
      <c r="BC143" s="11">
        <f>AW143+AX143</f>
        <v>0</v>
      </c>
      <c r="BD143" s="11">
        <f>G143/(100-BE143)*100</f>
        <v>0</v>
      </c>
      <c r="BE143" s="11">
        <v>0</v>
      </c>
      <c r="BF143" s="11">
        <f>143</f>
        <v>143</v>
      </c>
      <c r="BH143" s="11">
        <f>F143*AO143</f>
        <v>0</v>
      </c>
      <c r="BI143" s="11">
        <f>F143*AP143</f>
        <v>0</v>
      </c>
      <c r="BJ143" s="11">
        <f>F143*G143</f>
        <v>0</v>
      </c>
      <c r="BK143" s="12" t="s">
        <v>64</v>
      </c>
      <c r="BL143" s="11">
        <v>5</v>
      </c>
      <c r="BV143" s="11">
        <f>F143*G143</f>
        <v>0</v>
      </c>
      <c r="BW143" s="11">
        <v>21</v>
      </c>
      <c r="BX143" s="3" t="s">
        <v>418</v>
      </c>
    </row>
    <row r="144" spans="1:76">
      <c r="A144" s="15" t="s">
        <v>52</v>
      </c>
      <c r="B144" s="110" t="s">
        <v>52</v>
      </c>
      <c r="C144" s="111" t="s">
        <v>461</v>
      </c>
      <c r="D144" s="112"/>
      <c r="E144" s="113" t="s">
        <v>4</v>
      </c>
      <c r="F144" s="113" t="s">
        <v>4</v>
      </c>
      <c r="G144" s="97" t="s">
        <v>4</v>
      </c>
      <c r="H144" s="114">
        <f>H145+H155+H166+H172+H181+H190+H209+H213+H217+H220+H227</f>
        <v>0</v>
      </c>
      <c r="I144" s="114">
        <f>I145+I155+I166+I172+I181+I190+I209+I213+I217+I220+I227</f>
        <v>0</v>
      </c>
      <c r="J144" s="114">
        <f>J145+J155+J166+J172+J181+J190+J209+J213+J217+J220+J227</f>
        <v>0</v>
      </c>
      <c r="K144" s="16" t="s">
        <v>52</v>
      </c>
    </row>
    <row r="145" spans="1:76">
      <c r="A145" s="15" t="s">
        <v>52</v>
      </c>
      <c r="B145" s="110" t="s">
        <v>105</v>
      </c>
      <c r="C145" s="111" t="s">
        <v>106</v>
      </c>
      <c r="D145" s="112"/>
      <c r="E145" s="113" t="s">
        <v>4</v>
      </c>
      <c r="F145" s="113" t="s">
        <v>4</v>
      </c>
      <c r="G145" s="97" t="s">
        <v>4</v>
      </c>
      <c r="H145" s="114">
        <f>SUM(H146:H154)</f>
        <v>0</v>
      </c>
      <c r="I145" s="114">
        <f>SUM(I146:I154)</f>
        <v>0</v>
      </c>
      <c r="J145" s="114">
        <f>SUM(J146:J154)</f>
        <v>0</v>
      </c>
      <c r="K145" s="16" t="s">
        <v>52</v>
      </c>
      <c r="AI145" s="6" t="s">
        <v>462</v>
      </c>
      <c r="AS145" s="1">
        <f>SUM(AJ146:AJ154)</f>
        <v>0</v>
      </c>
      <c r="AT145" s="1">
        <f>SUM(AK146:AK154)</f>
        <v>0</v>
      </c>
      <c r="AU145" s="1">
        <f>SUM(AL146:AL154)</f>
        <v>0</v>
      </c>
    </row>
    <row r="146" spans="1:76">
      <c r="A146" s="29" t="s">
        <v>463</v>
      </c>
      <c r="B146" s="30" t="s">
        <v>108</v>
      </c>
      <c r="C146" s="105" t="s">
        <v>109</v>
      </c>
      <c r="D146" s="70"/>
      <c r="E146" s="30" t="s">
        <v>110</v>
      </c>
      <c r="F146" s="106">
        <v>6.6</v>
      </c>
      <c r="G146" s="107">
        <v>0</v>
      </c>
      <c r="H146" s="106">
        <f>ROUND(F146*AO146,2)</f>
        <v>0</v>
      </c>
      <c r="I146" s="106">
        <f>ROUND(F146*AP146,2)</f>
        <v>0</v>
      </c>
      <c r="J146" s="106">
        <f>ROUND(F146*G146,2)</f>
        <v>0</v>
      </c>
      <c r="K146" s="108" t="s">
        <v>111</v>
      </c>
      <c r="Z146" s="11">
        <f>ROUND(IF(AQ146="5",BJ146,0),2)</f>
        <v>0</v>
      </c>
      <c r="AB146" s="11">
        <f>ROUND(IF(AQ146="1",BH146,0),2)</f>
        <v>0</v>
      </c>
      <c r="AC146" s="11">
        <f>ROUND(IF(AQ146="1",BI146,0),2)</f>
        <v>0</v>
      </c>
      <c r="AD146" s="11">
        <f>ROUND(IF(AQ146="7",BH146,0),2)</f>
        <v>0</v>
      </c>
      <c r="AE146" s="11">
        <f>ROUND(IF(AQ146="7",BI146,0),2)</f>
        <v>0</v>
      </c>
      <c r="AF146" s="11">
        <f>ROUND(IF(AQ146="2",BH146,0),2)</f>
        <v>0</v>
      </c>
      <c r="AG146" s="11">
        <f>ROUND(IF(AQ146="2",BI146,0),2)</f>
        <v>0</v>
      </c>
      <c r="AH146" s="11">
        <f>ROUND(IF(AQ146="0",BJ146,0),2)</f>
        <v>0</v>
      </c>
      <c r="AI146" s="6" t="s">
        <v>462</v>
      </c>
      <c r="AJ146" s="11">
        <f>IF(AN146=0,J146,0)</f>
        <v>0</v>
      </c>
      <c r="AK146" s="11">
        <f>IF(AN146=12,J146,0)</f>
        <v>0</v>
      </c>
      <c r="AL146" s="11">
        <f>IF(AN146=21,J146,0)</f>
        <v>0</v>
      </c>
      <c r="AN146" s="11">
        <v>21</v>
      </c>
      <c r="AO146" s="11">
        <f>G146*0</f>
        <v>0</v>
      </c>
      <c r="AP146" s="11">
        <f>G146*(1-0)</f>
        <v>0</v>
      </c>
      <c r="AQ146" s="12" t="s">
        <v>81</v>
      </c>
      <c r="AV146" s="11">
        <f>ROUND(AW146+AX146,2)</f>
        <v>0</v>
      </c>
      <c r="AW146" s="11">
        <f>ROUND(F146*AO146,2)</f>
        <v>0</v>
      </c>
      <c r="AX146" s="11">
        <f>ROUND(F146*AP146,2)</f>
        <v>0</v>
      </c>
      <c r="AY146" s="12" t="s">
        <v>112</v>
      </c>
      <c r="AZ146" s="12" t="s">
        <v>464</v>
      </c>
      <c r="BA146" s="6" t="s">
        <v>465</v>
      </c>
      <c r="BC146" s="11">
        <f>AW146+AX146</f>
        <v>0</v>
      </c>
      <c r="BD146" s="11">
        <f>G146/(100-BE146)*100</f>
        <v>0</v>
      </c>
      <c r="BE146" s="11">
        <v>0</v>
      </c>
      <c r="BF146" s="11">
        <f>146</f>
        <v>146</v>
      </c>
      <c r="BH146" s="11">
        <f>F146*AO146</f>
        <v>0</v>
      </c>
      <c r="BI146" s="11">
        <f>F146*AP146</f>
        <v>0</v>
      </c>
      <c r="BJ146" s="11">
        <f>F146*G146</f>
        <v>0</v>
      </c>
      <c r="BK146" s="12" t="s">
        <v>64</v>
      </c>
      <c r="BL146" s="11">
        <v>713</v>
      </c>
      <c r="BW146" s="11">
        <v>21</v>
      </c>
      <c r="BX146" s="3" t="s">
        <v>109</v>
      </c>
    </row>
    <row r="147" spans="1:76">
      <c r="A147" s="29" t="s">
        <v>466</v>
      </c>
      <c r="B147" s="2" t="s">
        <v>115</v>
      </c>
      <c r="C147" s="40" t="s">
        <v>116</v>
      </c>
      <c r="D147" s="38"/>
      <c r="E147" s="2" t="s">
        <v>110</v>
      </c>
      <c r="F147" s="11">
        <v>6.6</v>
      </c>
      <c r="G147" s="109">
        <v>0</v>
      </c>
      <c r="H147" s="11">
        <f>ROUND(F147*AO147,2)</f>
        <v>0</v>
      </c>
      <c r="I147" s="11">
        <f>ROUND(F147*AP147,2)</f>
        <v>0</v>
      </c>
      <c r="J147" s="11">
        <f>ROUND(F147*G147,2)</f>
        <v>0</v>
      </c>
      <c r="K147" s="108" t="s">
        <v>111</v>
      </c>
      <c r="Z147" s="11">
        <f>ROUND(IF(AQ147="5",BJ147,0),2)</f>
        <v>0</v>
      </c>
      <c r="AB147" s="11">
        <f>ROUND(IF(AQ147="1",BH147,0),2)</f>
        <v>0</v>
      </c>
      <c r="AC147" s="11">
        <f>ROUND(IF(AQ147="1",BI147,0),2)</f>
        <v>0</v>
      </c>
      <c r="AD147" s="11">
        <f>ROUND(IF(AQ147="7",BH147,0),2)</f>
        <v>0</v>
      </c>
      <c r="AE147" s="11">
        <f>ROUND(IF(AQ147="7",BI147,0),2)</f>
        <v>0</v>
      </c>
      <c r="AF147" s="11">
        <f>ROUND(IF(AQ147="2",BH147,0),2)</f>
        <v>0</v>
      </c>
      <c r="AG147" s="11">
        <f>ROUND(IF(AQ147="2",BI147,0),2)</f>
        <v>0</v>
      </c>
      <c r="AH147" s="11">
        <f>ROUND(IF(AQ147="0",BJ147,0),2)</f>
        <v>0</v>
      </c>
      <c r="AI147" s="6" t="s">
        <v>462</v>
      </c>
      <c r="AJ147" s="11">
        <f>IF(AN147=0,J147,0)</f>
        <v>0</v>
      </c>
      <c r="AK147" s="11">
        <f>IF(AN147=12,J147,0)</f>
        <v>0</v>
      </c>
      <c r="AL147" s="11">
        <f>IF(AN147=21,J147,0)</f>
        <v>0</v>
      </c>
      <c r="AN147" s="11">
        <v>21</v>
      </c>
      <c r="AO147" s="11">
        <f>G147*0.087776575</f>
        <v>0</v>
      </c>
      <c r="AP147" s="11">
        <f>G147*(1-0.087776575)</f>
        <v>0</v>
      </c>
      <c r="AQ147" s="12" t="s">
        <v>81</v>
      </c>
      <c r="AV147" s="11">
        <f>ROUND(AW147+AX147,2)</f>
        <v>0</v>
      </c>
      <c r="AW147" s="11">
        <f>ROUND(F147*AO147,2)</f>
        <v>0</v>
      </c>
      <c r="AX147" s="11">
        <f>ROUND(F147*AP147,2)</f>
        <v>0</v>
      </c>
      <c r="AY147" s="12" t="s">
        <v>112</v>
      </c>
      <c r="AZ147" s="12" t="s">
        <v>464</v>
      </c>
      <c r="BA147" s="6" t="s">
        <v>465</v>
      </c>
      <c r="BC147" s="11">
        <f>AW147+AX147</f>
        <v>0</v>
      </c>
      <c r="BD147" s="11">
        <f>G147/(100-BE147)*100</f>
        <v>0</v>
      </c>
      <c r="BE147" s="11">
        <v>0</v>
      </c>
      <c r="BF147" s="11">
        <f>147</f>
        <v>147</v>
      </c>
      <c r="BH147" s="11">
        <f>F147*AO147</f>
        <v>0</v>
      </c>
      <c r="BI147" s="11">
        <f>F147*AP147</f>
        <v>0</v>
      </c>
      <c r="BJ147" s="11">
        <f>F147*G147</f>
        <v>0</v>
      </c>
      <c r="BK147" s="12" t="s">
        <v>64</v>
      </c>
      <c r="BL147" s="11">
        <v>713</v>
      </c>
      <c r="BW147" s="11">
        <v>21</v>
      </c>
      <c r="BX147" s="3" t="s">
        <v>116</v>
      </c>
    </row>
    <row r="148" spans="1:76">
      <c r="A148" s="29" t="s">
        <v>467</v>
      </c>
      <c r="B148" s="2" t="s">
        <v>468</v>
      </c>
      <c r="C148" s="40" t="s">
        <v>469</v>
      </c>
      <c r="D148" s="38"/>
      <c r="E148" s="2" t="s">
        <v>120</v>
      </c>
      <c r="F148" s="11">
        <v>10</v>
      </c>
      <c r="G148" s="109">
        <v>0</v>
      </c>
      <c r="H148" s="11">
        <f>ROUND(F148*AO148,2)</f>
        <v>0</v>
      </c>
      <c r="I148" s="11">
        <f>ROUND(F148*AP148,2)</f>
        <v>0</v>
      </c>
      <c r="J148" s="11">
        <f>ROUND(F148*G148,2)</f>
        <v>0</v>
      </c>
      <c r="K148" s="108" t="s">
        <v>111</v>
      </c>
      <c r="Z148" s="11">
        <f>ROUND(IF(AQ148="5",BJ148,0),2)</f>
        <v>0</v>
      </c>
      <c r="AB148" s="11">
        <f>ROUND(IF(AQ148="1",BH148,0),2)</f>
        <v>0</v>
      </c>
      <c r="AC148" s="11">
        <f>ROUND(IF(AQ148="1",BI148,0),2)</f>
        <v>0</v>
      </c>
      <c r="AD148" s="11">
        <f>ROUND(IF(AQ148="7",BH148,0),2)</f>
        <v>0</v>
      </c>
      <c r="AE148" s="11">
        <f>ROUND(IF(AQ148="7",BI148,0),2)</f>
        <v>0</v>
      </c>
      <c r="AF148" s="11">
        <f>ROUND(IF(AQ148="2",BH148,0),2)</f>
        <v>0</v>
      </c>
      <c r="AG148" s="11">
        <f>ROUND(IF(AQ148="2",BI148,0),2)</f>
        <v>0</v>
      </c>
      <c r="AH148" s="11">
        <f>ROUND(IF(AQ148="0",BJ148,0),2)</f>
        <v>0</v>
      </c>
      <c r="AI148" s="6" t="s">
        <v>462</v>
      </c>
      <c r="AJ148" s="11">
        <f>IF(AN148=0,J148,0)</f>
        <v>0</v>
      </c>
      <c r="AK148" s="11">
        <f>IF(AN148=12,J148,0)</f>
        <v>0</v>
      </c>
      <c r="AL148" s="11">
        <f>IF(AN148=21,J148,0)</f>
        <v>0</v>
      </c>
      <c r="AN148" s="11">
        <v>21</v>
      </c>
      <c r="AO148" s="11">
        <f>G148*1</f>
        <v>0</v>
      </c>
      <c r="AP148" s="11">
        <f>G148*(1-1)</f>
        <v>0</v>
      </c>
      <c r="AQ148" s="12" t="s">
        <v>81</v>
      </c>
      <c r="AV148" s="11">
        <f>ROUND(AW148+AX148,2)</f>
        <v>0</v>
      </c>
      <c r="AW148" s="11">
        <f>ROUND(F148*AO148,2)</f>
        <v>0</v>
      </c>
      <c r="AX148" s="11">
        <f>ROUND(F148*AP148,2)</f>
        <v>0</v>
      </c>
      <c r="AY148" s="12" t="s">
        <v>112</v>
      </c>
      <c r="AZ148" s="12" t="s">
        <v>464</v>
      </c>
      <c r="BA148" s="6" t="s">
        <v>465</v>
      </c>
      <c r="BC148" s="11">
        <f>AW148+AX148</f>
        <v>0</v>
      </c>
      <c r="BD148" s="11">
        <f>G148/(100-BE148)*100</f>
        <v>0</v>
      </c>
      <c r="BE148" s="11">
        <v>0</v>
      </c>
      <c r="BF148" s="11">
        <f>148</f>
        <v>148</v>
      </c>
      <c r="BH148" s="11">
        <f>F148*AO148</f>
        <v>0</v>
      </c>
      <c r="BI148" s="11">
        <f>F148*AP148</f>
        <v>0</v>
      </c>
      <c r="BJ148" s="11">
        <f>F148*G148</f>
        <v>0</v>
      </c>
      <c r="BK148" s="12" t="s">
        <v>470</v>
      </c>
      <c r="BL148" s="11">
        <v>713</v>
      </c>
      <c r="BW148" s="11">
        <v>21</v>
      </c>
      <c r="BX148" s="3" t="s">
        <v>469</v>
      </c>
    </row>
    <row r="149" spans="1:76">
      <c r="A149" s="29" t="s">
        <v>471</v>
      </c>
      <c r="B149" s="2" t="s">
        <v>472</v>
      </c>
      <c r="C149" s="40" t="s">
        <v>473</v>
      </c>
      <c r="D149" s="38"/>
      <c r="E149" s="2" t="s">
        <v>120</v>
      </c>
      <c r="F149" s="11">
        <v>4</v>
      </c>
      <c r="G149" s="109">
        <v>0</v>
      </c>
      <c r="H149" s="11">
        <f>ROUND(F149*AO149,2)</f>
        <v>0</v>
      </c>
      <c r="I149" s="11">
        <f>ROUND(F149*AP149,2)</f>
        <v>0</v>
      </c>
      <c r="J149" s="11">
        <f>ROUND(F149*G149,2)</f>
        <v>0</v>
      </c>
      <c r="K149" s="108" t="s">
        <v>111</v>
      </c>
      <c r="Z149" s="11">
        <f>ROUND(IF(AQ149="5",BJ149,0),2)</f>
        <v>0</v>
      </c>
      <c r="AB149" s="11">
        <f>ROUND(IF(AQ149="1",BH149,0),2)</f>
        <v>0</v>
      </c>
      <c r="AC149" s="11">
        <f>ROUND(IF(AQ149="1",BI149,0),2)</f>
        <v>0</v>
      </c>
      <c r="AD149" s="11">
        <f>ROUND(IF(AQ149="7",BH149,0),2)</f>
        <v>0</v>
      </c>
      <c r="AE149" s="11">
        <f>ROUND(IF(AQ149="7",BI149,0),2)</f>
        <v>0</v>
      </c>
      <c r="AF149" s="11">
        <f>ROUND(IF(AQ149="2",BH149,0),2)</f>
        <v>0</v>
      </c>
      <c r="AG149" s="11">
        <f>ROUND(IF(AQ149="2",BI149,0),2)</f>
        <v>0</v>
      </c>
      <c r="AH149" s="11">
        <f>ROUND(IF(AQ149="0",BJ149,0),2)</f>
        <v>0</v>
      </c>
      <c r="AI149" s="6" t="s">
        <v>462</v>
      </c>
      <c r="AJ149" s="11">
        <f>IF(AN149=0,J149,0)</f>
        <v>0</v>
      </c>
      <c r="AK149" s="11">
        <f>IF(AN149=12,J149,0)</f>
        <v>0</v>
      </c>
      <c r="AL149" s="11">
        <f>IF(AN149=21,J149,0)</f>
        <v>0</v>
      </c>
      <c r="AN149" s="11">
        <v>21</v>
      </c>
      <c r="AO149" s="11">
        <f>G149*1</f>
        <v>0</v>
      </c>
      <c r="AP149" s="11">
        <f>G149*(1-1)</f>
        <v>0</v>
      </c>
      <c r="AQ149" s="12" t="s">
        <v>81</v>
      </c>
      <c r="AV149" s="11">
        <f>ROUND(AW149+AX149,2)</f>
        <v>0</v>
      </c>
      <c r="AW149" s="11">
        <f>ROUND(F149*AO149,2)</f>
        <v>0</v>
      </c>
      <c r="AX149" s="11">
        <f>ROUND(F149*AP149,2)</f>
        <v>0</v>
      </c>
      <c r="AY149" s="12" t="s">
        <v>112</v>
      </c>
      <c r="AZ149" s="12" t="s">
        <v>464</v>
      </c>
      <c r="BA149" s="6" t="s">
        <v>465</v>
      </c>
      <c r="BC149" s="11">
        <f>AW149+AX149</f>
        <v>0</v>
      </c>
      <c r="BD149" s="11">
        <f>G149/(100-BE149)*100</f>
        <v>0</v>
      </c>
      <c r="BE149" s="11">
        <v>0</v>
      </c>
      <c r="BF149" s="11">
        <f>149</f>
        <v>149</v>
      </c>
      <c r="BH149" s="11">
        <f>F149*AO149</f>
        <v>0</v>
      </c>
      <c r="BI149" s="11">
        <f>F149*AP149</f>
        <v>0</v>
      </c>
      <c r="BJ149" s="11">
        <f>F149*G149</f>
        <v>0</v>
      </c>
      <c r="BK149" s="12" t="s">
        <v>470</v>
      </c>
      <c r="BL149" s="11">
        <v>713</v>
      </c>
      <c r="BW149" s="11">
        <v>21</v>
      </c>
      <c r="BX149" s="3" t="s">
        <v>473</v>
      </c>
    </row>
    <row r="150" spans="1:76" ht="24.75">
      <c r="A150" s="29" t="s">
        <v>474</v>
      </c>
      <c r="B150" s="2" t="s">
        <v>475</v>
      </c>
      <c r="C150" s="40" t="s">
        <v>476</v>
      </c>
      <c r="D150" s="38"/>
      <c r="E150" s="2" t="s">
        <v>120</v>
      </c>
      <c r="F150" s="11">
        <v>1.2</v>
      </c>
      <c r="G150" s="109">
        <v>0</v>
      </c>
      <c r="H150" s="11">
        <f>ROUND(F150*AO150,2)</f>
        <v>0</v>
      </c>
      <c r="I150" s="11">
        <f>ROUND(F150*AP150,2)</f>
        <v>0</v>
      </c>
      <c r="J150" s="11">
        <f>ROUND(F150*G150,2)</f>
        <v>0</v>
      </c>
      <c r="K150" s="108" t="s">
        <v>111</v>
      </c>
      <c r="Z150" s="11">
        <f>ROUND(IF(AQ150="5",BJ150,0),2)</f>
        <v>0</v>
      </c>
      <c r="AB150" s="11">
        <f>ROUND(IF(AQ150="1",BH150,0),2)</f>
        <v>0</v>
      </c>
      <c r="AC150" s="11">
        <f>ROUND(IF(AQ150="1",BI150,0),2)</f>
        <v>0</v>
      </c>
      <c r="AD150" s="11">
        <f>ROUND(IF(AQ150="7",BH150,0),2)</f>
        <v>0</v>
      </c>
      <c r="AE150" s="11">
        <f>ROUND(IF(AQ150="7",BI150,0),2)</f>
        <v>0</v>
      </c>
      <c r="AF150" s="11">
        <f>ROUND(IF(AQ150="2",BH150,0),2)</f>
        <v>0</v>
      </c>
      <c r="AG150" s="11">
        <f>ROUND(IF(AQ150="2",BI150,0),2)</f>
        <v>0</v>
      </c>
      <c r="AH150" s="11">
        <f>ROUND(IF(AQ150="0",BJ150,0),2)</f>
        <v>0</v>
      </c>
      <c r="AI150" s="6" t="s">
        <v>462</v>
      </c>
      <c r="AJ150" s="11">
        <f>IF(AN150=0,J150,0)</f>
        <v>0</v>
      </c>
      <c r="AK150" s="11">
        <f>IF(AN150=12,J150,0)</f>
        <v>0</v>
      </c>
      <c r="AL150" s="11">
        <f>IF(AN150=21,J150,0)</f>
        <v>0</v>
      </c>
      <c r="AN150" s="11">
        <v>21</v>
      </c>
      <c r="AO150" s="11">
        <f>G150*0.502929288</f>
        <v>0</v>
      </c>
      <c r="AP150" s="11">
        <f>G150*(1-0.502929288)</f>
        <v>0</v>
      </c>
      <c r="AQ150" s="12" t="s">
        <v>81</v>
      </c>
      <c r="AV150" s="11">
        <f>ROUND(AW150+AX150,2)</f>
        <v>0</v>
      </c>
      <c r="AW150" s="11">
        <f>ROUND(F150*AO150,2)</f>
        <v>0</v>
      </c>
      <c r="AX150" s="11">
        <f>ROUND(F150*AP150,2)</f>
        <v>0</v>
      </c>
      <c r="AY150" s="12" t="s">
        <v>112</v>
      </c>
      <c r="AZ150" s="12" t="s">
        <v>464</v>
      </c>
      <c r="BA150" s="6" t="s">
        <v>465</v>
      </c>
      <c r="BC150" s="11">
        <f>AW150+AX150</f>
        <v>0</v>
      </c>
      <c r="BD150" s="11">
        <f>G150/(100-BE150)*100</f>
        <v>0</v>
      </c>
      <c r="BE150" s="11">
        <v>0</v>
      </c>
      <c r="BF150" s="11">
        <f>150</f>
        <v>150</v>
      </c>
      <c r="BH150" s="11">
        <f>F150*AO150</f>
        <v>0</v>
      </c>
      <c r="BI150" s="11">
        <f>F150*AP150</f>
        <v>0</v>
      </c>
      <c r="BJ150" s="11">
        <f>F150*G150</f>
        <v>0</v>
      </c>
      <c r="BK150" s="12" t="s">
        <v>64</v>
      </c>
      <c r="BL150" s="11">
        <v>713</v>
      </c>
      <c r="BW150" s="11">
        <v>21</v>
      </c>
      <c r="BX150" s="3" t="s">
        <v>476</v>
      </c>
    </row>
    <row r="151" spans="1:76" ht="24.75">
      <c r="A151" s="29" t="s">
        <v>477</v>
      </c>
      <c r="B151" s="2" t="s">
        <v>478</v>
      </c>
      <c r="C151" s="40" t="s">
        <v>479</v>
      </c>
      <c r="D151" s="38"/>
      <c r="E151" s="2" t="s">
        <v>120</v>
      </c>
      <c r="F151" s="11">
        <v>1.2</v>
      </c>
      <c r="G151" s="109">
        <v>0</v>
      </c>
      <c r="H151" s="11">
        <f>ROUND(F151*AO151,2)</f>
        <v>0</v>
      </c>
      <c r="I151" s="11">
        <f>ROUND(F151*AP151,2)</f>
        <v>0</v>
      </c>
      <c r="J151" s="11">
        <f>ROUND(F151*G151,2)</f>
        <v>0</v>
      </c>
      <c r="K151" s="108" t="s">
        <v>111</v>
      </c>
      <c r="Z151" s="11">
        <f>ROUND(IF(AQ151="5",BJ151,0),2)</f>
        <v>0</v>
      </c>
      <c r="AB151" s="11">
        <f>ROUND(IF(AQ151="1",BH151,0),2)</f>
        <v>0</v>
      </c>
      <c r="AC151" s="11">
        <f>ROUND(IF(AQ151="1",BI151,0),2)</f>
        <v>0</v>
      </c>
      <c r="AD151" s="11">
        <f>ROUND(IF(AQ151="7",BH151,0),2)</f>
        <v>0</v>
      </c>
      <c r="AE151" s="11">
        <f>ROUND(IF(AQ151="7",BI151,0),2)</f>
        <v>0</v>
      </c>
      <c r="AF151" s="11">
        <f>ROUND(IF(AQ151="2",BH151,0),2)</f>
        <v>0</v>
      </c>
      <c r="AG151" s="11">
        <f>ROUND(IF(AQ151="2",BI151,0),2)</f>
        <v>0</v>
      </c>
      <c r="AH151" s="11">
        <f>ROUND(IF(AQ151="0",BJ151,0),2)</f>
        <v>0</v>
      </c>
      <c r="AI151" s="6" t="s">
        <v>462</v>
      </c>
      <c r="AJ151" s="11">
        <f>IF(AN151=0,J151,0)</f>
        <v>0</v>
      </c>
      <c r="AK151" s="11">
        <f>IF(AN151=12,J151,0)</f>
        <v>0</v>
      </c>
      <c r="AL151" s="11">
        <f>IF(AN151=21,J151,0)</f>
        <v>0</v>
      </c>
      <c r="AN151" s="11">
        <v>21</v>
      </c>
      <c r="AO151" s="11">
        <f>G151*0.304482759</f>
        <v>0</v>
      </c>
      <c r="AP151" s="11">
        <f>G151*(1-0.304482759)</f>
        <v>0</v>
      </c>
      <c r="AQ151" s="12" t="s">
        <v>81</v>
      </c>
      <c r="AV151" s="11">
        <f>ROUND(AW151+AX151,2)</f>
        <v>0</v>
      </c>
      <c r="AW151" s="11">
        <f>ROUND(F151*AO151,2)</f>
        <v>0</v>
      </c>
      <c r="AX151" s="11">
        <f>ROUND(F151*AP151,2)</f>
        <v>0</v>
      </c>
      <c r="AY151" s="12" t="s">
        <v>112</v>
      </c>
      <c r="AZ151" s="12" t="s">
        <v>464</v>
      </c>
      <c r="BA151" s="6" t="s">
        <v>465</v>
      </c>
      <c r="BC151" s="11">
        <f>AW151+AX151</f>
        <v>0</v>
      </c>
      <c r="BD151" s="11">
        <f>G151/(100-BE151)*100</f>
        <v>0</v>
      </c>
      <c r="BE151" s="11">
        <v>0</v>
      </c>
      <c r="BF151" s="11">
        <f>151</f>
        <v>151</v>
      </c>
      <c r="BH151" s="11">
        <f>F151*AO151</f>
        <v>0</v>
      </c>
      <c r="BI151" s="11">
        <f>F151*AP151</f>
        <v>0</v>
      </c>
      <c r="BJ151" s="11">
        <f>F151*G151</f>
        <v>0</v>
      </c>
      <c r="BK151" s="12" t="s">
        <v>64</v>
      </c>
      <c r="BL151" s="11">
        <v>713</v>
      </c>
      <c r="BW151" s="11">
        <v>21</v>
      </c>
      <c r="BX151" s="3" t="s">
        <v>479</v>
      </c>
    </row>
    <row r="152" spans="1:76" ht="24.75">
      <c r="A152" s="29" t="s">
        <v>480</v>
      </c>
      <c r="B152" s="2" t="s">
        <v>481</v>
      </c>
      <c r="C152" s="40" t="s">
        <v>482</v>
      </c>
      <c r="D152" s="38"/>
      <c r="E152" s="2" t="s">
        <v>120</v>
      </c>
      <c r="F152" s="11">
        <v>1.2</v>
      </c>
      <c r="G152" s="109">
        <v>0</v>
      </c>
      <c r="H152" s="11">
        <f>ROUND(F152*AO152,2)</f>
        <v>0</v>
      </c>
      <c r="I152" s="11">
        <f>ROUND(F152*AP152,2)</f>
        <v>0</v>
      </c>
      <c r="J152" s="11">
        <f>ROUND(F152*G152,2)</f>
        <v>0</v>
      </c>
      <c r="K152" s="108" t="s">
        <v>111</v>
      </c>
      <c r="Z152" s="11">
        <f>ROUND(IF(AQ152="5",BJ152,0),2)</f>
        <v>0</v>
      </c>
      <c r="AB152" s="11">
        <f>ROUND(IF(AQ152="1",BH152,0),2)</f>
        <v>0</v>
      </c>
      <c r="AC152" s="11">
        <f>ROUND(IF(AQ152="1",BI152,0),2)</f>
        <v>0</v>
      </c>
      <c r="AD152" s="11">
        <f>ROUND(IF(AQ152="7",BH152,0),2)</f>
        <v>0</v>
      </c>
      <c r="AE152" s="11">
        <f>ROUND(IF(AQ152="7",BI152,0),2)</f>
        <v>0</v>
      </c>
      <c r="AF152" s="11">
        <f>ROUND(IF(AQ152="2",BH152,0),2)</f>
        <v>0</v>
      </c>
      <c r="AG152" s="11">
        <f>ROUND(IF(AQ152="2",BI152,0),2)</f>
        <v>0</v>
      </c>
      <c r="AH152" s="11">
        <f>ROUND(IF(AQ152="0",BJ152,0),2)</f>
        <v>0</v>
      </c>
      <c r="AI152" s="6" t="s">
        <v>462</v>
      </c>
      <c r="AJ152" s="11">
        <f>IF(AN152=0,J152,0)</f>
        <v>0</v>
      </c>
      <c r="AK152" s="11">
        <f>IF(AN152=12,J152,0)</f>
        <v>0</v>
      </c>
      <c r="AL152" s="11">
        <f>IF(AN152=21,J152,0)</f>
        <v>0</v>
      </c>
      <c r="AN152" s="11">
        <v>21</v>
      </c>
      <c r="AO152" s="11">
        <f>G152*0.501975309</f>
        <v>0</v>
      </c>
      <c r="AP152" s="11">
        <f>G152*(1-0.501975309)</f>
        <v>0</v>
      </c>
      <c r="AQ152" s="12" t="s">
        <v>81</v>
      </c>
      <c r="AV152" s="11">
        <f>ROUND(AW152+AX152,2)</f>
        <v>0</v>
      </c>
      <c r="AW152" s="11">
        <f>ROUND(F152*AO152,2)</f>
        <v>0</v>
      </c>
      <c r="AX152" s="11">
        <f>ROUND(F152*AP152,2)</f>
        <v>0</v>
      </c>
      <c r="AY152" s="12" t="s">
        <v>112</v>
      </c>
      <c r="AZ152" s="12" t="s">
        <v>464</v>
      </c>
      <c r="BA152" s="6" t="s">
        <v>465</v>
      </c>
      <c r="BC152" s="11">
        <f>AW152+AX152</f>
        <v>0</v>
      </c>
      <c r="BD152" s="11">
        <f>G152/(100-BE152)*100</f>
        <v>0</v>
      </c>
      <c r="BE152" s="11">
        <v>0</v>
      </c>
      <c r="BF152" s="11">
        <f>152</f>
        <v>152</v>
      </c>
      <c r="BH152" s="11">
        <f>F152*AO152</f>
        <v>0</v>
      </c>
      <c r="BI152" s="11">
        <f>F152*AP152</f>
        <v>0</v>
      </c>
      <c r="BJ152" s="11">
        <f>F152*G152</f>
        <v>0</v>
      </c>
      <c r="BK152" s="12" t="s">
        <v>64</v>
      </c>
      <c r="BL152" s="11">
        <v>713</v>
      </c>
      <c r="BW152" s="11">
        <v>21</v>
      </c>
      <c r="BX152" s="3" t="s">
        <v>482</v>
      </c>
    </row>
    <row r="153" spans="1:76">
      <c r="A153" s="29" t="s">
        <v>483</v>
      </c>
      <c r="B153" s="2" t="s">
        <v>129</v>
      </c>
      <c r="C153" s="40" t="s">
        <v>130</v>
      </c>
      <c r="D153" s="38"/>
      <c r="E153" s="2" t="s">
        <v>127</v>
      </c>
      <c r="F153" s="11">
        <v>0.12</v>
      </c>
      <c r="G153" s="109">
        <v>0</v>
      </c>
      <c r="H153" s="11">
        <f>ROUND(F153*AO153,2)</f>
        <v>0</v>
      </c>
      <c r="I153" s="11">
        <f>ROUND(F153*AP153,2)</f>
        <v>0</v>
      </c>
      <c r="J153" s="11">
        <f>ROUND(F153*G153,2)</f>
        <v>0</v>
      </c>
      <c r="K153" s="108" t="s">
        <v>111</v>
      </c>
      <c r="Z153" s="11">
        <f>ROUND(IF(AQ153="5",BJ153,0),2)</f>
        <v>0</v>
      </c>
      <c r="AB153" s="11">
        <f>ROUND(IF(AQ153="1",BH153,0),2)</f>
        <v>0</v>
      </c>
      <c r="AC153" s="11">
        <f>ROUND(IF(AQ153="1",BI153,0),2)</f>
        <v>0</v>
      </c>
      <c r="AD153" s="11">
        <f>ROUND(IF(AQ153="7",BH153,0),2)</f>
        <v>0</v>
      </c>
      <c r="AE153" s="11">
        <f>ROUND(IF(AQ153="7",BI153,0),2)</f>
        <v>0</v>
      </c>
      <c r="AF153" s="11">
        <f>ROUND(IF(AQ153="2",BH153,0),2)</f>
        <v>0</v>
      </c>
      <c r="AG153" s="11">
        <f>ROUND(IF(AQ153="2",BI153,0),2)</f>
        <v>0</v>
      </c>
      <c r="AH153" s="11">
        <f>ROUND(IF(AQ153="0",BJ153,0),2)</f>
        <v>0</v>
      </c>
      <c r="AI153" s="6" t="s">
        <v>462</v>
      </c>
      <c r="AJ153" s="11">
        <f>IF(AN153=0,J153,0)</f>
        <v>0</v>
      </c>
      <c r="AK153" s="11">
        <f>IF(AN153=12,J153,0)</f>
        <v>0</v>
      </c>
      <c r="AL153" s="11">
        <f>IF(AN153=21,J153,0)</f>
        <v>0</v>
      </c>
      <c r="AN153" s="11">
        <v>21</v>
      </c>
      <c r="AO153" s="11">
        <f>G153*0</f>
        <v>0</v>
      </c>
      <c r="AP153" s="11">
        <f>G153*(1-0)</f>
        <v>0</v>
      </c>
      <c r="AQ153" s="12" t="s">
        <v>74</v>
      </c>
      <c r="AV153" s="11">
        <f>ROUND(AW153+AX153,2)</f>
        <v>0</v>
      </c>
      <c r="AW153" s="11">
        <f>ROUND(F153*AO153,2)</f>
        <v>0</v>
      </c>
      <c r="AX153" s="11">
        <f>ROUND(F153*AP153,2)</f>
        <v>0</v>
      </c>
      <c r="AY153" s="12" t="s">
        <v>112</v>
      </c>
      <c r="AZ153" s="12" t="s">
        <v>464</v>
      </c>
      <c r="BA153" s="6" t="s">
        <v>465</v>
      </c>
      <c r="BC153" s="11">
        <f>AW153+AX153</f>
        <v>0</v>
      </c>
      <c r="BD153" s="11">
        <f>G153/(100-BE153)*100</f>
        <v>0</v>
      </c>
      <c r="BE153" s="11">
        <v>0</v>
      </c>
      <c r="BF153" s="11">
        <f>153</f>
        <v>153</v>
      </c>
      <c r="BH153" s="11">
        <f>F153*AO153</f>
        <v>0</v>
      </c>
      <c r="BI153" s="11">
        <f>F153*AP153</f>
        <v>0</v>
      </c>
      <c r="BJ153" s="11">
        <f>F153*G153</f>
        <v>0</v>
      </c>
      <c r="BK153" s="12" t="s">
        <v>64</v>
      </c>
      <c r="BL153" s="11">
        <v>713</v>
      </c>
      <c r="BW153" s="11">
        <v>21</v>
      </c>
      <c r="BX153" s="3" t="s">
        <v>130</v>
      </c>
    </row>
    <row r="154" spans="1:76">
      <c r="A154" s="29" t="s">
        <v>484</v>
      </c>
      <c r="B154" s="30" t="s">
        <v>125</v>
      </c>
      <c r="C154" s="105" t="s">
        <v>126</v>
      </c>
      <c r="D154" s="70"/>
      <c r="E154" s="30" t="s">
        <v>127</v>
      </c>
      <c r="F154" s="106">
        <v>0.12</v>
      </c>
      <c r="G154" s="107">
        <v>0</v>
      </c>
      <c r="H154" s="106">
        <f>ROUND(F154*AO154,2)</f>
        <v>0</v>
      </c>
      <c r="I154" s="106">
        <f>ROUND(F154*AP154,2)</f>
        <v>0</v>
      </c>
      <c r="J154" s="106">
        <f>ROUND(F154*G154,2)</f>
        <v>0</v>
      </c>
      <c r="K154" s="108" t="s">
        <v>111</v>
      </c>
      <c r="Z154" s="11">
        <f>ROUND(IF(AQ154="5",BJ154,0),2)</f>
        <v>0</v>
      </c>
      <c r="AB154" s="11">
        <f>ROUND(IF(AQ154="1",BH154,0),2)</f>
        <v>0</v>
      </c>
      <c r="AC154" s="11">
        <f>ROUND(IF(AQ154="1",BI154,0),2)</f>
        <v>0</v>
      </c>
      <c r="AD154" s="11">
        <f>ROUND(IF(AQ154="7",BH154,0),2)</f>
        <v>0</v>
      </c>
      <c r="AE154" s="11">
        <f>ROUND(IF(AQ154="7",BI154,0),2)</f>
        <v>0</v>
      </c>
      <c r="AF154" s="11">
        <f>ROUND(IF(AQ154="2",BH154,0),2)</f>
        <v>0</v>
      </c>
      <c r="AG154" s="11">
        <f>ROUND(IF(AQ154="2",BI154,0),2)</f>
        <v>0</v>
      </c>
      <c r="AH154" s="11">
        <f>ROUND(IF(AQ154="0",BJ154,0),2)</f>
        <v>0</v>
      </c>
      <c r="AI154" s="6" t="s">
        <v>462</v>
      </c>
      <c r="AJ154" s="11">
        <f>IF(AN154=0,J154,0)</f>
        <v>0</v>
      </c>
      <c r="AK154" s="11">
        <f>IF(AN154=12,J154,0)</f>
        <v>0</v>
      </c>
      <c r="AL154" s="11">
        <f>IF(AN154=21,J154,0)</f>
        <v>0</v>
      </c>
      <c r="AN154" s="11">
        <v>21</v>
      </c>
      <c r="AO154" s="11">
        <f>G154*0</f>
        <v>0</v>
      </c>
      <c r="AP154" s="11">
        <f>G154*(1-0)</f>
        <v>0</v>
      </c>
      <c r="AQ154" s="12" t="s">
        <v>74</v>
      </c>
      <c r="AV154" s="11">
        <f>ROUND(AW154+AX154,2)</f>
        <v>0</v>
      </c>
      <c r="AW154" s="11">
        <f>ROUND(F154*AO154,2)</f>
        <v>0</v>
      </c>
      <c r="AX154" s="11">
        <f>ROUND(F154*AP154,2)</f>
        <v>0</v>
      </c>
      <c r="AY154" s="12" t="s">
        <v>112</v>
      </c>
      <c r="AZ154" s="12" t="s">
        <v>464</v>
      </c>
      <c r="BA154" s="6" t="s">
        <v>465</v>
      </c>
      <c r="BC154" s="11">
        <f>AW154+AX154</f>
        <v>0</v>
      </c>
      <c r="BD154" s="11">
        <f>G154/(100-BE154)*100</f>
        <v>0</v>
      </c>
      <c r="BE154" s="11">
        <v>0</v>
      </c>
      <c r="BF154" s="11">
        <f>154</f>
        <v>154</v>
      </c>
      <c r="BH154" s="11">
        <f>F154*AO154</f>
        <v>0</v>
      </c>
      <c r="BI154" s="11">
        <f>F154*AP154</f>
        <v>0</v>
      </c>
      <c r="BJ154" s="11">
        <f>F154*G154</f>
        <v>0</v>
      </c>
      <c r="BK154" s="12" t="s">
        <v>64</v>
      </c>
      <c r="BL154" s="11">
        <v>713</v>
      </c>
      <c r="BW154" s="11">
        <v>21</v>
      </c>
      <c r="BX154" s="3" t="s">
        <v>126</v>
      </c>
    </row>
    <row r="155" spans="1:76">
      <c r="A155" s="15" t="s">
        <v>52</v>
      </c>
      <c r="B155" s="110" t="s">
        <v>153</v>
      </c>
      <c r="C155" s="111" t="s">
        <v>154</v>
      </c>
      <c r="D155" s="112"/>
      <c r="E155" s="113" t="s">
        <v>4</v>
      </c>
      <c r="F155" s="113" t="s">
        <v>4</v>
      </c>
      <c r="G155" s="97" t="s">
        <v>4</v>
      </c>
      <c r="H155" s="114">
        <f>SUM(H156:H165)</f>
        <v>0</v>
      </c>
      <c r="I155" s="114">
        <f>SUM(I156:I165)</f>
        <v>0</v>
      </c>
      <c r="J155" s="114">
        <f>SUM(J156:J165)</f>
        <v>0</v>
      </c>
      <c r="K155" s="16" t="s">
        <v>52</v>
      </c>
      <c r="AI155" s="6" t="s">
        <v>462</v>
      </c>
      <c r="AS155" s="1">
        <f>SUM(AJ156:AJ165)</f>
        <v>0</v>
      </c>
      <c r="AT155" s="1">
        <f>SUM(AK156:AK165)</f>
        <v>0</v>
      </c>
      <c r="AU155" s="1">
        <f>SUM(AL156:AL165)</f>
        <v>0</v>
      </c>
    </row>
    <row r="156" spans="1:76">
      <c r="A156" s="29" t="s">
        <v>485</v>
      </c>
      <c r="B156" s="30" t="s">
        <v>486</v>
      </c>
      <c r="C156" s="105" t="s">
        <v>487</v>
      </c>
      <c r="D156" s="70"/>
      <c r="E156" s="30" t="s">
        <v>120</v>
      </c>
      <c r="F156" s="106">
        <v>3.6</v>
      </c>
      <c r="G156" s="107">
        <v>0</v>
      </c>
      <c r="H156" s="106">
        <f>ROUND(F156*AO156,2)</f>
        <v>0</v>
      </c>
      <c r="I156" s="106">
        <f>ROUND(F156*AP156,2)</f>
        <v>0</v>
      </c>
      <c r="J156" s="106">
        <f>ROUND(F156*G156,2)</f>
        <v>0</v>
      </c>
      <c r="K156" s="108" t="s">
        <v>111</v>
      </c>
      <c r="Z156" s="11">
        <f>ROUND(IF(AQ156="5",BJ156,0),2)</f>
        <v>0</v>
      </c>
      <c r="AB156" s="11">
        <f>ROUND(IF(AQ156="1",BH156,0),2)</f>
        <v>0</v>
      </c>
      <c r="AC156" s="11">
        <f>ROUND(IF(AQ156="1",BI156,0),2)</f>
        <v>0</v>
      </c>
      <c r="AD156" s="11">
        <f>ROUND(IF(AQ156="7",BH156,0),2)</f>
        <v>0</v>
      </c>
      <c r="AE156" s="11">
        <f>ROUND(IF(AQ156="7",BI156,0),2)</f>
        <v>0</v>
      </c>
      <c r="AF156" s="11">
        <f>ROUND(IF(AQ156="2",BH156,0),2)</f>
        <v>0</v>
      </c>
      <c r="AG156" s="11">
        <f>ROUND(IF(AQ156="2",BI156,0),2)</f>
        <v>0</v>
      </c>
      <c r="AH156" s="11">
        <f>ROUND(IF(AQ156="0",BJ156,0),2)</f>
        <v>0</v>
      </c>
      <c r="AI156" s="6" t="s">
        <v>462</v>
      </c>
      <c r="AJ156" s="11">
        <f>IF(AN156=0,J156,0)</f>
        <v>0</v>
      </c>
      <c r="AK156" s="11">
        <f>IF(AN156=12,J156,0)</f>
        <v>0</v>
      </c>
      <c r="AL156" s="11">
        <f>IF(AN156=21,J156,0)</f>
        <v>0</v>
      </c>
      <c r="AN156" s="11">
        <v>21</v>
      </c>
      <c r="AO156" s="11">
        <f>G156*0.013553408</f>
        <v>0</v>
      </c>
      <c r="AP156" s="11">
        <f>G156*(1-0.013553408)</f>
        <v>0</v>
      </c>
      <c r="AQ156" s="12" t="s">
        <v>81</v>
      </c>
      <c r="AV156" s="11">
        <f>ROUND(AW156+AX156,2)</f>
        <v>0</v>
      </c>
      <c r="AW156" s="11">
        <f>ROUND(F156*AO156,2)</f>
        <v>0</v>
      </c>
      <c r="AX156" s="11">
        <f>ROUND(F156*AP156,2)</f>
        <v>0</v>
      </c>
      <c r="AY156" s="12" t="s">
        <v>158</v>
      </c>
      <c r="AZ156" s="12" t="s">
        <v>488</v>
      </c>
      <c r="BA156" s="6" t="s">
        <v>465</v>
      </c>
      <c r="BC156" s="11">
        <f>AW156+AX156</f>
        <v>0</v>
      </c>
      <c r="BD156" s="11">
        <f>G156/(100-BE156)*100</f>
        <v>0</v>
      </c>
      <c r="BE156" s="11">
        <v>0</v>
      </c>
      <c r="BF156" s="11">
        <f>156</f>
        <v>156</v>
      </c>
      <c r="BH156" s="11">
        <f>F156*AO156</f>
        <v>0</v>
      </c>
      <c r="BI156" s="11">
        <f>F156*AP156</f>
        <v>0</v>
      </c>
      <c r="BJ156" s="11">
        <f>F156*G156</f>
        <v>0</v>
      </c>
      <c r="BK156" s="12" t="s">
        <v>64</v>
      </c>
      <c r="BL156" s="11">
        <v>722</v>
      </c>
      <c r="BW156" s="11">
        <v>21</v>
      </c>
      <c r="BX156" s="3" t="s">
        <v>487</v>
      </c>
    </row>
    <row r="157" spans="1:76">
      <c r="A157" s="29" t="s">
        <v>489</v>
      </c>
      <c r="B157" s="2" t="s">
        <v>490</v>
      </c>
      <c r="C157" s="40" t="s">
        <v>491</v>
      </c>
      <c r="D157" s="38"/>
      <c r="E157" s="2" t="s">
        <v>120</v>
      </c>
      <c r="F157" s="11">
        <v>2.4</v>
      </c>
      <c r="G157" s="109">
        <v>0</v>
      </c>
      <c r="H157" s="11">
        <f>ROUND(F157*AO157,2)</f>
        <v>0</v>
      </c>
      <c r="I157" s="11">
        <f>ROUND(F157*AP157,2)</f>
        <v>0</v>
      </c>
      <c r="J157" s="11">
        <f>ROUND(F157*G157,2)</f>
        <v>0</v>
      </c>
      <c r="K157" s="108" t="s">
        <v>111</v>
      </c>
      <c r="Z157" s="11">
        <f>ROUND(IF(AQ157="5",BJ157,0),2)</f>
        <v>0</v>
      </c>
      <c r="AB157" s="11">
        <f>ROUND(IF(AQ157="1",BH157,0),2)</f>
        <v>0</v>
      </c>
      <c r="AC157" s="11">
        <f>ROUND(IF(AQ157="1",BI157,0),2)</f>
        <v>0</v>
      </c>
      <c r="AD157" s="11">
        <f>ROUND(IF(AQ157="7",BH157,0),2)</f>
        <v>0</v>
      </c>
      <c r="AE157" s="11">
        <f>ROUND(IF(AQ157="7",BI157,0),2)</f>
        <v>0</v>
      </c>
      <c r="AF157" s="11">
        <f>ROUND(IF(AQ157="2",BH157,0),2)</f>
        <v>0</v>
      </c>
      <c r="AG157" s="11">
        <f>ROUND(IF(AQ157="2",BI157,0),2)</f>
        <v>0</v>
      </c>
      <c r="AH157" s="11">
        <f>ROUND(IF(AQ157="0",BJ157,0),2)</f>
        <v>0</v>
      </c>
      <c r="AI157" s="6" t="s">
        <v>462</v>
      </c>
      <c r="AJ157" s="11">
        <f>IF(AN157=0,J157,0)</f>
        <v>0</v>
      </c>
      <c r="AK157" s="11">
        <f>IF(AN157=12,J157,0)</f>
        <v>0</v>
      </c>
      <c r="AL157" s="11">
        <f>IF(AN157=21,J157,0)</f>
        <v>0</v>
      </c>
      <c r="AN157" s="11">
        <v>21</v>
      </c>
      <c r="AO157" s="11">
        <f>G157*0.658249507</f>
        <v>0</v>
      </c>
      <c r="AP157" s="11">
        <f>G157*(1-0.658249507)</f>
        <v>0</v>
      </c>
      <c r="AQ157" s="12" t="s">
        <v>81</v>
      </c>
      <c r="AV157" s="11">
        <f>ROUND(AW157+AX157,2)</f>
        <v>0</v>
      </c>
      <c r="AW157" s="11">
        <f>ROUND(F157*AO157,2)</f>
        <v>0</v>
      </c>
      <c r="AX157" s="11">
        <f>ROUND(F157*AP157,2)</f>
        <v>0</v>
      </c>
      <c r="AY157" s="12" t="s">
        <v>158</v>
      </c>
      <c r="AZ157" s="12" t="s">
        <v>488</v>
      </c>
      <c r="BA157" s="6" t="s">
        <v>465</v>
      </c>
      <c r="BC157" s="11">
        <f>AW157+AX157</f>
        <v>0</v>
      </c>
      <c r="BD157" s="11">
        <f>G157/(100-BE157)*100</f>
        <v>0</v>
      </c>
      <c r="BE157" s="11">
        <v>0</v>
      </c>
      <c r="BF157" s="11">
        <f>157</f>
        <v>157</v>
      </c>
      <c r="BH157" s="11">
        <f>F157*AO157</f>
        <v>0</v>
      </c>
      <c r="BI157" s="11">
        <f>F157*AP157</f>
        <v>0</v>
      </c>
      <c r="BJ157" s="11">
        <f>F157*G157</f>
        <v>0</v>
      </c>
      <c r="BK157" s="12" t="s">
        <v>64</v>
      </c>
      <c r="BL157" s="11">
        <v>722</v>
      </c>
      <c r="BW157" s="11">
        <v>21</v>
      </c>
      <c r="BX157" s="3" t="s">
        <v>491</v>
      </c>
    </row>
    <row r="158" spans="1:76">
      <c r="A158" s="29" t="s">
        <v>492</v>
      </c>
      <c r="B158" s="2" t="s">
        <v>493</v>
      </c>
      <c r="C158" s="40" t="s">
        <v>494</v>
      </c>
      <c r="D158" s="38"/>
      <c r="E158" s="2" t="s">
        <v>120</v>
      </c>
      <c r="F158" s="11">
        <v>1.2</v>
      </c>
      <c r="G158" s="109">
        <v>0</v>
      </c>
      <c r="H158" s="11">
        <f>ROUND(F158*AO158,2)</f>
        <v>0</v>
      </c>
      <c r="I158" s="11">
        <f>ROUND(F158*AP158,2)</f>
        <v>0</v>
      </c>
      <c r="J158" s="11">
        <f>ROUND(F158*G158,2)</f>
        <v>0</v>
      </c>
      <c r="K158" s="108" t="s">
        <v>111</v>
      </c>
      <c r="Z158" s="11">
        <f>ROUND(IF(AQ158="5",BJ158,0),2)</f>
        <v>0</v>
      </c>
      <c r="AB158" s="11">
        <f>ROUND(IF(AQ158="1",BH158,0),2)</f>
        <v>0</v>
      </c>
      <c r="AC158" s="11">
        <f>ROUND(IF(AQ158="1",BI158,0),2)</f>
        <v>0</v>
      </c>
      <c r="AD158" s="11">
        <f>ROUND(IF(AQ158="7",BH158,0),2)</f>
        <v>0</v>
      </c>
      <c r="AE158" s="11">
        <f>ROUND(IF(AQ158="7",BI158,0),2)</f>
        <v>0</v>
      </c>
      <c r="AF158" s="11">
        <f>ROUND(IF(AQ158="2",BH158,0),2)</f>
        <v>0</v>
      </c>
      <c r="AG158" s="11">
        <f>ROUND(IF(AQ158="2",BI158,0),2)</f>
        <v>0</v>
      </c>
      <c r="AH158" s="11">
        <f>ROUND(IF(AQ158="0",BJ158,0),2)</f>
        <v>0</v>
      </c>
      <c r="AI158" s="6" t="s">
        <v>462</v>
      </c>
      <c r="AJ158" s="11">
        <f>IF(AN158=0,J158,0)</f>
        <v>0</v>
      </c>
      <c r="AK158" s="11">
        <f>IF(AN158=12,J158,0)</f>
        <v>0</v>
      </c>
      <c r="AL158" s="11">
        <f>IF(AN158=21,J158,0)</f>
        <v>0</v>
      </c>
      <c r="AN158" s="11">
        <v>21</v>
      </c>
      <c r="AO158" s="11">
        <f>G158*0.410243788</f>
        <v>0</v>
      </c>
      <c r="AP158" s="11">
        <f>G158*(1-0.410243788)</f>
        <v>0</v>
      </c>
      <c r="AQ158" s="12" t="s">
        <v>81</v>
      </c>
      <c r="AV158" s="11">
        <f>ROUND(AW158+AX158,2)</f>
        <v>0</v>
      </c>
      <c r="AW158" s="11">
        <f>ROUND(F158*AO158,2)</f>
        <v>0</v>
      </c>
      <c r="AX158" s="11">
        <f>ROUND(F158*AP158,2)</f>
        <v>0</v>
      </c>
      <c r="AY158" s="12" t="s">
        <v>158</v>
      </c>
      <c r="AZ158" s="12" t="s">
        <v>488</v>
      </c>
      <c r="BA158" s="6" t="s">
        <v>465</v>
      </c>
      <c r="BC158" s="11">
        <f>AW158+AX158</f>
        <v>0</v>
      </c>
      <c r="BD158" s="11">
        <f>G158/(100-BE158)*100</f>
        <v>0</v>
      </c>
      <c r="BE158" s="11">
        <v>0</v>
      </c>
      <c r="BF158" s="11">
        <f>158</f>
        <v>158</v>
      </c>
      <c r="BH158" s="11">
        <f>F158*AO158</f>
        <v>0</v>
      </c>
      <c r="BI158" s="11">
        <f>F158*AP158</f>
        <v>0</v>
      </c>
      <c r="BJ158" s="11">
        <f>F158*G158</f>
        <v>0</v>
      </c>
      <c r="BK158" s="12" t="s">
        <v>64</v>
      </c>
      <c r="BL158" s="11">
        <v>722</v>
      </c>
      <c r="BW158" s="11">
        <v>21</v>
      </c>
      <c r="BX158" s="3" t="s">
        <v>494</v>
      </c>
    </row>
    <row r="159" spans="1:76">
      <c r="A159" s="29" t="s">
        <v>495</v>
      </c>
      <c r="B159" s="2" t="s">
        <v>496</v>
      </c>
      <c r="C159" s="40" t="s">
        <v>497</v>
      </c>
      <c r="D159" s="38"/>
      <c r="E159" s="2" t="s">
        <v>120</v>
      </c>
      <c r="F159" s="11">
        <v>3.6</v>
      </c>
      <c r="G159" s="109">
        <v>0</v>
      </c>
      <c r="H159" s="11">
        <f>ROUND(F159*AO159,2)</f>
        <v>0</v>
      </c>
      <c r="I159" s="11">
        <f>ROUND(F159*AP159,2)</f>
        <v>0</v>
      </c>
      <c r="J159" s="11">
        <f>ROUND(F159*G159,2)</f>
        <v>0</v>
      </c>
      <c r="K159" s="108" t="s">
        <v>111</v>
      </c>
      <c r="Z159" s="11">
        <f>ROUND(IF(AQ159="5",BJ159,0),2)</f>
        <v>0</v>
      </c>
      <c r="AB159" s="11">
        <f>ROUND(IF(AQ159="1",BH159,0),2)</f>
        <v>0</v>
      </c>
      <c r="AC159" s="11">
        <f>ROUND(IF(AQ159="1",BI159,0),2)</f>
        <v>0</v>
      </c>
      <c r="AD159" s="11">
        <f>ROUND(IF(AQ159="7",BH159,0),2)</f>
        <v>0</v>
      </c>
      <c r="AE159" s="11">
        <f>ROUND(IF(AQ159="7",BI159,0),2)</f>
        <v>0</v>
      </c>
      <c r="AF159" s="11">
        <f>ROUND(IF(AQ159="2",BH159,0),2)</f>
        <v>0</v>
      </c>
      <c r="AG159" s="11">
        <f>ROUND(IF(AQ159="2",BI159,0),2)</f>
        <v>0</v>
      </c>
      <c r="AH159" s="11">
        <f>ROUND(IF(AQ159="0",BJ159,0),2)</f>
        <v>0</v>
      </c>
      <c r="AI159" s="6" t="s">
        <v>462</v>
      </c>
      <c r="AJ159" s="11">
        <f>IF(AN159=0,J159,0)</f>
        <v>0</v>
      </c>
      <c r="AK159" s="11">
        <f>IF(AN159=12,J159,0)</f>
        <v>0</v>
      </c>
      <c r="AL159" s="11">
        <f>IF(AN159=21,J159,0)</f>
        <v>0</v>
      </c>
      <c r="AN159" s="11">
        <v>21</v>
      </c>
      <c r="AO159" s="11">
        <f>G159*0.047045952</f>
        <v>0</v>
      </c>
      <c r="AP159" s="11">
        <f>G159*(1-0.047045952)</f>
        <v>0</v>
      </c>
      <c r="AQ159" s="12" t="s">
        <v>81</v>
      </c>
      <c r="AV159" s="11">
        <f>ROUND(AW159+AX159,2)</f>
        <v>0</v>
      </c>
      <c r="AW159" s="11">
        <f>ROUND(F159*AO159,2)</f>
        <v>0</v>
      </c>
      <c r="AX159" s="11">
        <f>ROUND(F159*AP159,2)</f>
        <v>0</v>
      </c>
      <c r="AY159" s="12" t="s">
        <v>158</v>
      </c>
      <c r="AZ159" s="12" t="s">
        <v>488</v>
      </c>
      <c r="BA159" s="6" t="s">
        <v>465</v>
      </c>
      <c r="BC159" s="11">
        <f>AW159+AX159</f>
        <v>0</v>
      </c>
      <c r="BD159" s="11">
        <f>G159/(100-BE159)*100</f>
        <v>0</v>
      </c>
      <c r="BE159" s="11">
        <v>0</v>
      </c>
      <c r="BF159" s="11">
        <f>159</f>
        <v>159</v>
      </c>
      <c r="BH159" s="11">
        <f>F159*AO159</f>
        <v>0</v>
      </c>
      <c r="BI159" s="11">
        <f>F159*AP159</f>
        <v>0</v>
      </c>
      <c r="BJ159" s="11">
        <f>F159*G159</f>
        <v>0</v>
      </c>
      <c r="BK159" s="12" t="s">
        <v>64</v>
      </c>
      <c r="BL159" s="11">
        <v>722</v>
      </c>
      <c r="BW159" s="11">
        <v>21</v>
      </c>
      <c r="BX159" s="3" t="s">
        <v>497</v>
      </c>
    </row>
    <row r="160" spans="1:76">
      <c r="A160" s="29" t="s">
        <v>498</v>
      </c>
      <c r="B160" s="2" t="s">
        <v>499</v>
      </c>
      <c r="C160" s="40" t="s">
        <v>500</v>
      </c>
      <c r="D160" s="38"/>
      <c r="E160" s="2" t="s">
        <v>60</v>
      </c>
      <c r="F160" s="11">
        <v>3</v>
      </c>
      <c r="G160" s="109">
        <v>0</v>
      </c>
      <c r="H160" s="11">
        <f>ROUND(F160*AO160,2)</f>
        <v>0</v>
      </c>
      <c r="I160" s="11">
        <f>ROUND(F160*AP160,2)</f>
        <v>0</v>
      </c>
      <c r="J160" s="11">
        <f>ROUND(F160*G160,2)</f>
        <v>0</v>
      </c>
      <c r="K160" s="108" t="s">
        <v>111</v>
      </c>
      <c r="Z160" s="11">
        <f>ROUND(IF(AQ160="5",BJ160,0),2)</f>
        <v>0</v>
      </c>
      <c r="AB160" s="11">
        <f>ROUND(IF(AQ160="1",BH160,0),2)</f>
        <v>0</v>
      </c>
      <c r="AC160" s="11">
        <f>ROUND(IF(AQ160="1",BI160,0),2)</f>
        <v>0</v>
      </c>
      <c r="AD160" s="11">
        <f>ROUND(IF(AQ160="7",BH160,0),2)</f>
        <v>0</v>
      </c>
      <c r="AE160" s="11">
        <f>ROUND(IF(AQ160="7",BI160,0),2)</f>
        <v>0</v>
      </c>
      <c r="AF160" s="11">
        <f>ROUND(IF(AQ160="2",BH160,0),2)</f>
        <v>0</v>
      </c>
      <c r="AG160" s="11">
        <f>ROUND(IF(AQ160="2",BI160,0),2)</f>
        <v>0</v>
      </c>
      <c r="AH160" s="11">
        <f>ROUND(IF(AQ160="0",BJ160,0),2)</f>
        <v>0</v>
      </c>
      <c r="AI160" s="6" t="s">
        <v>462</v>
      </c>
      <c r="AJ160" s="11">
        <f>IF(AN160=0,J160,0)</f>
        <v>0</v>
      </c>
      <c r="AK160" s="11">
        <f>IF(AN160=12,J160,0)</f>
        <v>0</v>
      </c>
      <c r="AL160" s="11">
        <f>IF(AN160=21,J160,0)</f>
        <v>0</v>
      </c>
      <c r="AN160" s="11">
        <v>21</v>
      </c>
      <c r="AO160" s="11">
        <f>G160*0.574773386</f>
        <v>0</v>
      </c>
      <c r="AP160" s="11">
        <f>G160*(1-0.574773386)</f>
        <v>0</v>
      </c>
      <c r="AQ160" s="12" t="s">
        <v>81</v>
      </c>
      <c r="AV160" s="11">
        <f>ROUND(AW160+AX160,2)</f>
        <v>0</v>
      </c>
      <c r="AW160" s="11">
        <f>ROUND(F160*AO160,2)</f>
        <v>0</v>
      </c>
      <c r="AX160" s="11">
        <f>ROUND(F160*AP160,2)</f>
        <v>0</v>
      </c>
      <c r="AY160" s="12" t="s">
        <v>158</v>
      </c>
      <c r="AZ160" s="12" t="s">
        <v>488</v>
      </c>
      <c r="BA160" s="6" t="s">
        <v>465</v>
      </c>
      <c r="BC160" s="11">
        <f>AW160+AX160</f>
        <v>0</v>
      </c>
      <c r="BD160" s="11">
        <f>G160/(100-BE160)*100</f>
        <v>0</v>
      </c>
      <c r="BE160" s="11">
        <v>0</v>
      </c>
      <c r="BF160" s="11">
        <f>160</f>
        <v>160</v>
      </c>
      <c r="BH160" s="11">
        <f>F160*AO160</f>
        <v>0</v>
      </c>
      <c r="BI160" s="11">
        <f>F160*AP160</f>
        <v>0</v>
      </c>
      <c r="BJ160" s="11">
        <f>F160*G160</f>
        <v>0</v>
      </c>
      <c r="BK160" s="12" t="s">
        <v>64</v>
      </c>
      <c r="BL160" s="11">
        <v>722</v>
      </c>
      <c r="BW160" s="11">
        <v>21</v>
      </c>
      <c r="BX160" s="3" t="s">
        <v>500</v>
      </c>
    </row>
    <row r="161" spans="1:76">
      <c r="A161" s="29" t="s">
        <v>501</v>
      </c>
      <c r="B161" s="2" t="s">
        <v>502</v>
      </c>
      <c r="C161" s="40" t="s">
        <v>503</v>
      </c>
      <c r="D161" s="38"/>
      <c r="E161" s="2" t="s">
        <v>60</v>
      </c>
      <c r="F161" s="11">
        <v>2</v>
      </c>
      <c r="G161" s="109">
        <v>0</v>
      </c>
      <c r="H161" s="11">
        <f>ROUND(F161*AO161,2)</f>
        <v>0</v>
      </c>
      <c r="I161" s="11">
        <f>ROUND(F161*AP161,2)</f>
        <v>0</v>
      </c>
      <c r="J161" s="11">
        <f>ROUND(F161*G161,2)</f>
        <v>0</v>
      </c>
      <c r="K161" s="108" t="s">
        <v>111</v>
      </c>
      <c r="Z161" s="11">
        <f>ROUND(IF(AQ161="5",BJ161,0),2)</f>
        <v>0</v>
      </c>
      <c r="AB161" s="11">
        <f>ROUND(IF(AQ161="1",BH161,0),2)</f>
        <v>0</v>
      </c>
      <c r="AC161" s="11">
        <f>ROUND(IF(AQ161="1",BI161,0),2)</f>
        <v>0</v>
      </c>
      <c r="AD161" s="11">
        <f>ROUND(IF(AQ161="7",BH161,0),2)</f>
        <v>0</v>
      </c>
      <c r="AE161" s="11">
        <f>ROUND(IF(AQ161="7",BI161,0),2)</f>
        <v>0</v>
      </c>
      <c r="AF161" s="11">
        <f>ROUND(IF(AQ161="2",BH161,0),2)</f>
        <v>0</v>
      </c>
      <c r="AG161" s="11">
        <f>ROUND(IF(AQ161="2",BI161,0),2)</f>
        <v>0</v>
      </c>
      <c r="AH161" s="11">
        <f>ROUND(IF(AQ161="0",BJ161,0),2)</f>
        <v>0</v>
      </c>
      <c r="AI161" s="6" t="s">
        <v>462</v>
      </c>
      <c r="AJ161" s="11">
        <f>IF(AN161=0,J161,0)</f>
        <v>0</v>
      </c>
      <c r="AK161" s="11">
        <f>IF(AN161=12,J161,0)</f>
        <v>0</v>
      </c>
      <c r="AL161" s="11">
        <f>IF(AN161=21,J161,0)</f>
        <v>0</v>
      </c>
      <c r="AN161" s="11">
        <v>21</v>
      </c>
      <c r="AO161" s="11">
        <f>G161*0.747456517</f>
        <v>0</v>
      </c>
      <c r="AP161" s="11">
        <f>G161*(1-0.747456517)</f>
        <v>0</v>
      </c>
      <c r="AQ161" s="12" t="s">
        <v>81</v>
      </c>
      <c r="AV161" s="11">
        <f>ROUND(AW161+AX161,2)</f>
        <v>0</v>
      </c>
      <c r="AW161" s="11">
        <f>ROUND(F161*AO161,2)</f>
        <v>0</v>
      </c>
      <c r="AX161" s="11">
        <f>ROUND(F161*AP161,2)</f>
        <v>0</v>
      </c>
      <c r="AY161" s="12" t="s">
        <v>158</v>
      </c>
      <c r="AZ161" s="12" t="s">
        <v>488</v>
      </c>
      <c r="BA161" s="6" t="s">
        <v>465</v>
      </c>
      <c r="BC161" s="11">
        <f>AW161+AX161</f>
        <v>0</v>
      </c>
      <c r="BD161" s="11">
        <f>G161/(100-BE161)*100</f>
        <v>0</v>
      </c>
      <c r="BE161" s="11">
        <v>0</v>
      </c>
      <c r="BF161" s="11">
        <f>161</f>
        <v>161</v>
      </c>
      <c r="BH161" s="11">
        <f>F161*AO161</f>
        <v>0</v>
      </c>
      <c r="BI161" s="11">
        <f>F161*AP161</f>
        <v>0</v>
      </c>
      <c r="BJ161" s="11">
        <f>F161*G161</f>
        <v>0</v>
      </c>
      <c r="BK161" s="12" t="s">
        <v>64</v>
      </c>
      <c r="BL161" s="11">
        <v>722</v>
      </c>
      <c r="BW161" s="11">
        <v>21</v>
      </c>
      <c r="BX161" s="3" t="s">
        <v>503</v>
      </c>
    </row>
    <row r="162" spans="1:76">
      <c r="A162" s="29" t="s">
        <v>504</v>
      </c>
      <c r="B162" s="2" t="s">
        <v>505</v>
      </c>
      <c r="C162" s="40" t="s">
        <v>506</v>
      </c>
      <c r="D162" s="38"/>
      <c r="E162" s="2" t="s">
        <v>60</v>
      </c>
      <c r="F162" s="11">
        <v>1</v>
      </c>
      <c r="G162" s="109">
        <v>0</v>
      </c>
      <c r="H162" s="11">
        <f>ROUND(F162*AO162,2)</f>
        <v>0</v>
      </c>
      <c r="I162" s="11">
        <f>ROUND(F162*AP162,2)</f>
        <v>0</v>
      </c>
      <c r="J162" s="11">
        <f>ROUND(F162*G162,2)</f>
        <v>0</v>
      </c>
      <c r="K162" s="108" t="s">
        <v>111</v>
      </c>
      <c r="Z162" s="11">
        <f>ROUND(IF(AQ162="5",BJ162,0),2)</f>
        <v>0</v>
      </c>
      <c r="AB162" s="11">
        <f>ROUND(IF(AQ162="1",BH162,0),2)</f>
        <v>0</v>
      </c>
      <c r="AC162" s="11">
        <f>ROUND(IF(AQ162="1",BI162,0),2)</f>
        <v>0</v>
      </c>
      <c r="AD162" s="11">
        <f>ROUND(IF(AQ162="7",BH162,0),2)</f>
        <v>0</v>
      </c>
      <c r="AE162" s="11">
        <f>ROUND(IF(AQ162="7",BI162,0),2)</f>
        <v>0</v>
      </c>
      <c r="AF162" s="11">
        <f>ROUND(IF(AQ162="2",BH162,0),2)</f>
        <v>0</v>
      </c>
      <c r="AG162" s="11">
        <f>ROUND(IF(AQ162="2",BI162,0),2)</f>
        <v>0</v>
      </c>
      <c r="AH162" s="11">
        <f>ROUND(IF(AQ162="0",BJ162,0),2)</f>
        <v>0</v>
      </c>
      <c r="AI162" s="6" t="s">
        <v>462</v>
      </c>
      <c r="AJ162" s="11">
        <f>IF(AN162=0,J162,0)</f>
        <v>0</v>
      </c>
      <c r="AK162" s="11">
        <f>IF(AN162=12,J162,0)</f>
        <v>0</v>
      </c>
      <c r="AL162" s="11">
        <f>IF(AN162=21,J162,0)</f>
        <v>0</v>
      </c>
      <c r="AN162" s="11">
        <v>21</v>
      </c>
      <c r="AO162" s="11">
        <f>G162*0.759666154</f>
        <v>0</v>
      </c>
      <c r="AP162" s="11">
        <f>G162*(1-0.759666154)</f>
        <v>0</v>
      </c>
      <c r="AQ162" s="12" t="s">
        <v>81</v>
      </c>
      <c r="AV162" s="11">
        <f>ROUND(AW162+AX162,2)</f>
        <v>0</v>
      </c>
      <c r="AW162" s="11">
        <f>ROUND(F162*AO162,2)</f>
        <v>0</v>
      </c>
      <c r="AX162" s="11">
        <f>ROUND(F162*AP162,2)</f>
        <v>0</v>
      </c>
      <c r="AY162" s="12" t="s">
        <v>158</v>
      </c>
      <c r="AZ162" s="12" t="s">
        <v>488</v>
      </c>
      <c r="BA162" s="6" t="s">
        <v>465</v>
      </c>
      <c r="BC162" s="11">
        <f>AW162+AX162</f>
        <v>0</v>
      </c>
      <c r="BD162" s="11">
        <f>G162/(100-BE162)*100</f>
        <v>0</v>
      </c>
      <c r="BE162" s="11">
        <v>0</v>
      </c>
      <c r="BF162" s="11">
        <f>162</f>
        <v>162</v>
      </c>
      <c r="BH162" s="11">
        <f>F162*AO162</f>
        <v>0</v>
      </c>
      <c r="BI162" s="11">
        <f>F162*AP162</f>
        <v>0</v>
      </c>
      <c r="BJ162" s="11">
        <f>F162*G162</f>
        <v>0</v>
      </c>
      <c r="BK162" s="12" t="s">
        <v>64</v>
      </c>
      <c r="BL162" s="11">
        <v>722</v>
      </c>
      <c r="BW162" s="11">
        <v>21</v>
      </c>
      <c r="BX162" s="3" t="s">
        <v>506</v>
      </c>
    </row>
    <row r="163" spans="1:76">
      <c r="A163" s="29" t="s">
        <v>507</v>
      </c>
      <c r="B163" s="2" t="s">
        <v>508</v>
      </c>
      <c r="C163" s="40" t="s">
        <v>509</v>
      </c>
      <c r="D163" s="38"/>
      <c r="E163" s="2" t="s">
        <v>60</v>
      </c>
      <c r="F163" s="11">
        <v>1</v>
      </c>
      <c r="G163" s="109">
        <v>0</v>
      </c>
      <c r="H163" s="11">
        <f>ROUND(F163*AO163,2)</f>
        <v>0</v>
      </c>
      <c r="I163" s="11">
        <f>ROUND(F163*AP163,2)</f>
        <v>0</v>
      </c>
      <c r="J163" s="11">
        <f>ROUND(F163*G163,2)</f>
        <v>0</v>
      </c>
      <c r="K163" s="108" t="s">
        <v>111</v>
      </c>
      <c r="Z163" s="11">
        <f>ROUND(IF(AQ163="5",BJ163,0),2)</f>
        <v>0</v>
      </c>
      <c r="AB163" s="11">
        <f>ROUND(IF(AQ163="1",BH163,0),2)</f>
        <v>0</v>
      </c>
      <c r="AC163" s="11">
        <f>ROUND(IF(AQ163="1",BI163,0),2)</f>
        <v>0</v>
      </c>
      <c r="AD163" s="11">
        <f>ROUND(IF(AQ163="7",BH163,0),2)</f>
        <v>0</v>
      </c>
      <c r="AE163" s="11">
        <f>ROUND(IF(AQ163="7",BI163,0),2)</f>
        <v>0</v>
      </c>
      <c r="AF163" s="11">
        <f>ROUND(IF(AQ163="2",BH163,0),2)</f>
        <v>0</v>
      </c>
      <c r="AG163" s="11">
        <f>ROUND(IF(AQ163="2",BI163,0),2)</f>
        <v>0</v>
      </c>
      <c r="AH163" s="11">
        <f>ROUND(IF(AQ163="0",BJ163,0),2)</f>
        <v>0</v>
      </c>
      <c r="AI163" s="6" t="s">
        <v>462</v>
      </c>
      <c r="AJ163" s="11">
        <f>IF(AN163=0,J163,0)</f>
        <v>0</v>
      </c>
      <c r="AK163" s="11">
        <f>IF(AN163=12,J163,0)</f>
        <v>0</v>
      </c>
      <c r="AL163" s="11">
        <f>IF(AN163=21,J163,0)</f>
        <v>0</v>
      </c>
      <c r="AN163" s="11">
        <v>21</v>
      </c>
      <c r="AO163" s="11">
        <f>G163*0.592709761</f>
        <v>0</v>
      </c>
      <c r="AP163" s="11">
        <f>G163*(1-0.592709761)</f>
        <v>0</v>
      </c>
      <c r="AQ163" s="12" t="s">
        <v>81</v>
      </c>
      <c r="AV163" s="11">
        <f>ROUND(AW163+AX163,2)</f>
        <v>0</v>
      </c>
      <c r="AW163" s="11">
        <f>ROUND(F163*AO163,2)</f>
        <v>0</v>
      </c>
      <c r="AX163" s="11">
        <f>ROUND(F163*AP163,2)</f>
        <v>0</v>
      </c>
      <c r="AY163" s="12" t="s">
        <v>158</v>
      </c>
      <c r="AZ163" s="12" t="s">
        <v>488</v>
      </c>
      <c r="BA163" s="6" t="s">
        <v>465</v>
      </c>
      <c r="BC163" s="11">
        <f>AW163+AX163</f>
        <v>0</v>
      </c>
      <c r="BD163" s="11">
        <f>G163/(100-BE163)*100</f>
        <v>0</v>
      </c>
      <c r="BE163" s="11">
        <v>0</v>
      </c>
      <c r="BF163" s="11">
        <f>163</f>
        <v>163</v>
      </c>
      <c r="BH163" s="11">
        <f>F163*AO163</f>
        <v>0</v>
      </c>
      <c r="BI163" s="11">
        <f>F163*AP163</f>
        <v>0</v>
      </c>
      <c r="BJ163" s="11">
        <f>F163*G163</f>
        <v>0</v>
      </c>
      <c r="BK163" s="12" t="s">
        <v>64</v>
      </c>
      <c r="BL163" s="11">
        <v>722</v>
      </c>
      <c r="BW163" s="11">
        <v>21</v>
      </c>
      <c r="BX163" s="3" t="s">
        <v>509</v>
      </c>
    </row>
    <row r="164" spans="1:76">
      <c r="A164" s="29" t="s">
        <v>510</v>
      </c>
      <c r="B164" s="2" t="s">
        <v>175</v>
      </c>
      <c r="C164" s="40" t="s">
        <v>176</v>
      </c>
      <c r="D164" s="38"/>
      <c r="E164" s="2" t="s">
        <v>127</v>
      </c>
      <c r="F164" s="11">
        <v>3.0000000000000001E-3</v>
      </c>
      <c r="G164" s="109">
        <v>0</v>
      </c>
      <c r="H164" s="11">
        <f>ROUND(F164*AO164,2)</f>
        <v>0</v>
      </c>
      <c r="I164" s="11">
        <f>ROUND(F164*AP164,2)</f>
        <v>0</v>
      </c>
      <c r="J164" s="11">
        <f>ROUND(F164*G164,2)</f>
        <v>0</v>
      </c>
      <c r="K164" s="108" t="s">
        <v>111</v>
      </c>
      <c r="Z164" s="11">
        <f>ROUND(IF(AQ164="5",BJ164,0),2)</f>
        <v>0</v>
      </c>
      <c r="AB164" s="11">
        <f>ROUND(IF(AQ164="1",BH164,0),2)</f>
        <v>0</v>
      </c>
      <c r="AC164" s="11">
        <f>ROUND(IF(AQ164="1",BI164,0),2)</f>
        <v>0</v>
      </c>
      <c r="AD164" s="11">
        <f>ROUND(IF(AQ164="7",BH164,0),2)</f>
        <v>0</v>
      </c>
      <c r="AE164" s="11">
        <f>ROUND(IF(AQ164="7",BI164,0),2)</f>
        <v>0</v>
      </c>
      <c r="AF164" s="11">
        <f>ROUND(IF(AQ164="2",BH164,0),2)</f>
        <v>0</v>
      </c>
      <c r="AG164" s="11">
        <f>ROUND(IF(AQ164="2",BI164,0),2)</f>
        <v>0</v>
      </c>
      <c r="AH164" s="11">
        <f>ROUND(IF(AQ164="0",BJ164,0),2)</f>
        <v>0</v>
      </c>
      <c r="AI164" s="6" t="s">
        <v>462</v>
      </c>
      <c r="AJ164" s="11">
        <f>IF(AN164=0,J164,0)</f>
        <v>0</v>
      </c>
      <c r="AK164" s="11">
        <f>IF(AN164=12,J164,0)</f>
        <v>0</v>
      </c>
      <c r="AL164" s="11">
        <f>IF(AN164=21,J164,0)</f>
        <v>0</v>
      </c>
      <c r="AN164" s="11">
        <v>21</v>
      </c>
      <c r="AO164" s="11">
        <f>G164*0</f>
        <v>0</v>
      </c>
      <c r="AP164" s="11">
        <f>G164*(1-0)</f>
        <v>0</v>
      </c>
      <c r="AQ164" s="12" t="s">
        <v>74</v>
      </c>
      <c r="AV164" s="11">
        <f>ROUND(AW164+AX164,2)</f>
        <v>0</v>
      </c>
      <c r="AW164" s="11">
        <f>ROUND(F164*AO164,2)</f>
        <v>0</v>
      </c>
      <c r="AX164" s="11">
        <f>ROUND(F164*AP164,2)</f>
        <v>0</v>
      </c>
      <c r="AY164" s="12" t="s">
        <v>158</v>
      </c>
      <c r="AZ164" s="12" t="s">
        <v>488</v>
      </c>
      <c r="BA164" s="6" t="s">
        <v>465</v>
      </c>
      <c r="BC164" s="11">
        <f>AW164+AX164</f>
        <v>0</v>
      </c>
      <c r="BD164" s="11">
        <f>G164/(100-BE164)*100</f>
        <v>0</v>
      </c>
      <c r="BE164" s="11">
        <v>0</v>
      </c>
      <c r="BF164" s="11">
        <f>164</f>
        <v>164</v>
      </c>
      <c r="BH164" s="11">
        <f>F164*AO164</f>
        <v>0</v>
      </c>
      <c r="BI164" s="11">
        <f>F164*AP164</f>
        <v>0</v>
      </c>
      <c r="BJ164" s="11">
        <f>F164*G164</f>
        <v>0</v>
      </c>
      <c r="BK164" s="12" t="s">
        <v>64</v>
      </c>
      <c r="BL164" s="11">
        <v>722</v>
      </c>
      <c r="BW164" s="11">
        <v>21</v>
      </c>
      <c r="BX164" s="3" t="s">
        <v>176</v>
      </c>
    </row>
    <row r="165" spans="1:76">
      <c r="A165" s="29" t="s">
        <v>511</v>
      </c>
      <c r="B165" s="30" t="s">
        <v>172</v>
      </c>
      <c r="C165" s="105" t="s">
        <v>173</v>
      </c>
      <c r="D165" s="70"/>
      <c r="E165" s="30" t="s">
        <v>127</v>
      </c>
      <c r="F165" s="106">
        <v>3.0000000000000001E-3</v>
      </c>
      <c r="G165" s="107">
        <v>0</v>
      </c>
      <c r="H165" s="106">
        <f>ROUND(F165*AO165,2)</f>
        <v>0</v>
      </c>
      <c r="I165" s="106">
        <f>ROUND(F165*AP165,2)</f>
        <v>0</v>
      </c>
      <c r="J165" s="106">
        <f>ROUND(F165*G165,2)</f>
        <v>0</v>
      </c>
      <c r="K165" s="108" t="s">
        <v>111</v>
      </c>
      <c r="Z165" s="11">
        <f>ROUND(IF(AQ165="5",BJ165,0),2)</f>
        <v>0</v>
      </c>
      <c r="AB165" s="11">
        <f>ROUND(IF(AQ165="1",BH165,0),2)</f>
        <v>0</v>
      </c>
      <c r="AC165" s="11">
        <f>ROUND(IF(AQ165="1",BI165,0),2)</f>
        <v>0</v>
      </c>
      <c r="AD165" s="11">
        <f>ROUND(IF(AQ165="7",BH165,0),2)</f>
        <v>0</v>
      </c>
      <c r="AE165" s="11">
        <f>ROUND(IF(AQ165="7",BI165,0),2)</f>
        <v>0</v>
      </c>
      <c r="AF165" s="11">
        <f>ROUND(IF(AQ165="2",BH165,0),2)</f>
        <v>0</v>
      </c>
      <c r="AG165" s="11">
        <f>ROUND(IF(AQ165="2",BI165,0),2)</f>
        <v>0</v>
      </c>
      <c r="AH165" s="11">
        <f>ROUND(IF(AQ165="0",BJ165,0),2)</f>
        <v>0</v>
      </c>
      <c r="AI165" s="6" t="s">
        <v>462</v>
      </c>
      <c r="AJ165" s="11">
        <f>IF(AN165=0,J165,0)</f>
        <v>0</v>
      </c>
      <c r="AK165" s="11">
        <f>IF(AN165=12,J165,0)</f>
        <v>0</v>
      </c>
      <c r="AL165" s="11">
        <f>IF(AN165=21,J165,0)</f>
        <v>0</v>
      </c>
      <c r="AN165" s="11">
        <v>21</v>
      </c>
      <c r="AO165" s="11">
        <f>G165*0</f>
        <v>0</v>
      </c>
      <c r="AP165" s="11">
        <f>G165*(1-0)</f>
        <v>0</v>
      </c>
      <c r="AQ165" s="12" t="s">
        <v>74</v>
      </c>
      <c r="AV165" s="11">
        <f>ROUND(AW165+AX165,2)</f>
        <v>0</v>
      </c>
      <c r="AW165" s="11">
        <f>ROUND(F165*AO165,2)</f>
        <v>0</v>
      </c>
      <c r="AX165" s="11">
        <f>ROUND(F165*AP165,2)</f>
        <v>0</v>
      </c>
      <c r="AY165" s="12" t="s">
        <v>158</v>
      </c>
      <c r="AZ165" s="12" t="s">
        <v>488</v>
      </c>
      <c r="BA165" s="6" t="s">
        <v>465</v>
      </c>
      <c r="BC165" s="11">
        <f>AW165+AX165</f>
        <v>0</v>
      </c>
      <c r="BD165" s="11">
        <f>G165/(100-BE165)*100</f>
        <v>0</v>
      </c>
      <c r="BE165" s="11">
        <v>0</v>
      </c>
      <c r="BF165" s="11">
        <f>165</f>
        <v>165</v>
      </c>
      <c r="BH165" s="11">
        <f>F165*AO165</f>
        <v>0</v>
      </c>
      <c r="BI165" s="11">
        <f>F165*AP165</f>
        <v>0</v>
      </c>
      <c r="BJ165" s="11">
        <f>F165*G165</f>
        <v>0</v>
      </c>
      <c r="BK165" s="12" t="s">
        <v>64</v>
      </c>
      <c r="BL165" s="11">
        <v>722</v>
      </c>
      <c r="BW165" s="11">
        <v>21</v>
      </c>
      <c r="BX165" s="3" t="s">
        <v>173</v>
      </c>
    </row>
    <row r="166" spans="1:76">
      <c r="A166" s="15" t="s">
        <v>52</v>
      </c>
      <c r="B166" s="110" t="s">
        <v>177</v>
      </c>
      <c r="C166" s="111" t="s">
        <v>178</v>
      </c>
      <c r="D166" s="112"/>
      <c r="E166" s="113" t="s">
        <v>4</v>
      </c>
      <c r="F166" s="113" t="s">
        <v>4</v>
      </c>
      <c r="G166" s="97" t="s">
        <v>4</v>
      </c>
      <c r="H166" s="114">
        <f>SUM(H167:H171)</f>
        <v>0</v>
      </c>
      <c r="I166" s="114">
        <f>SUM(I167:I171)</f>
        <v>0</v>
      </c>
      <c r="J166" s="114">
        <f>SUM(J167:J171)</f>
        <v>0</v>
      </c>
      <c r="K166" s="16" t="s">
        <v>52</v>
      </c>
      <c r="AI166" s="6" t="s">
        <v>462</v>
      </c>
      <c r="AS166" s="1">
        <f>SUM(AJ167:AJ171)</f>
        <v>0</v>
      </c>
      <c r="AT166" s="1">
        <f>SUM(AK167:AK171)</f>
        <v>0</v>
      </c>
      <c r="AU166" s="1">
        <f>SUM(AL167:AL171)</f>
        <v>0</v>
      </c>
    </row>
    <row r="167" spans="1:76">
      <c r="A167" s="29" t="s">
        <v>512</v>
      </c>
      <c r="B167" s="30" t="s">
        <v>180</v>
      </c>
      <c r="C167" s="105" t="s">
        <v>181</v>
      </c>
      <c r="D167" s="70"/>
      <c r="E167" s="30" t="s">
        <v>120</v>
      </c>
      <c r="F167" s="106">
        <v>10</v>
      </c>
      <c r="G167" s="107">
        <v>0</v>
      </c>
      <c r="H167" s="106">
        <f>ROUND(F167*AO167,2)</f>
        <v>0</v>
      </c>
      <c r="I167" s="106">
        <f>ROUND(F167*AP167,2)</f>
        <v>0</v>
      </c>
      <c r="J167" s="106">
        <f>ROUND(F167*G167,2)</f>
        <v>0</v>
      </c>
      <c r="K167" s="108" t="s">
        <v>111</v>
      </c>
      <c r="Z167" s="11">
        <f>ROUND(IF(AQ167="5",BJ167,0),2)</f>
        <v>0</v>
      </c>
      <c r="AB167" s="11">
        <f>ROUND(IF(AQ167="1",BH167,0),2)</f>
        <v>0</v>
      </c>
      <c r="AC167" s="11">
        <f>ROUND(IF(AQ167="1",BI167,0),2)</f>
        <v>0</v>
      </c>
      <c r="AD167" s="11">
        <f>ROUND(IF(AQ167="7",BH167,0),2)</f>
        <v>0</v>
      </c>
      <c r="AE167" s="11">
        <f>ROUND(IF(AQ167="7",BI167,0),2)</f>
        <v>0</v>
      </c>
      <c r="AF167" s="11">
        <f>ROUND(IF(AQ167="2",BH167,0),2)</f>
        <v>0</v>
      </c>
      <c r="AG167" s="11">
        <f>ROUND(IF(AQ167="2",BI167,0),2)</f>
        <v>0</v>
      </c>
      <c r="AH167" s="11">
        <f>ROUND(IF(AQ167="0",BJ167,0),2)</f>
        <v>0</v>
      </c>
      <c r="AI167" s="6" t="s">
        <v>462</v>
      </c>
      <c r="AJ167" s="11">
        <f>IF(AN167=0,J167,0)</f>
        <v>0</v>
      </c>
      <c r="AK167" s="11">
        <f>IF(AN167=12,J167,0)</f>
        <v>0</v>
      </c>
      <c r="AL167" s="11">
        <f>IF(AN167=21,J167,0)</f>
        <v>0</v>
      </c>
      <c r="AN167" s="11">
        <v>21</v>
      </c>
      <c r="AO167" s="11">
        <f>G167*0.819728507</f>
        <v>0</v>
      </c>
      <c r="AP167" s="11">
        <f>G167*(1-0.819728507)</f>
        <v>0</v>
      </c>
      <c r="AQ167" s="12" t="s">
        <v>81</v>
      </c>
      <c r="AV167" s="11">
        <f>ROUND(AW167+AX167,2)</f>
        <v>0</v>
      </c>
      <c r="AW167" s="11">
        <f>ROUND(F167*AO167,2)</f>
        <v>0</v>
      </c>
      <c r="AX167" s="11">
        <f>ROUND(F167*AP167,2)</f>
        <v>0</v>
      </c>
      <c r="AY167" s="12" t="s">
        <v>182</v>
      </c>
      <c r="AZ167" s="12" t="s">
        <v>513</v>
      </c>
      <c r="BA167" s="6" t="s">
        <v>465</v>
      </c>
      <c r="BC167" s="11">
        <f>AW167+AX167</f>
        <v>0</v>
      </c>
      <c r="BD167" s="11">
        <f>G167/(100-BE167)*100</f>
        <v>0</v>
      </c>
      <c r="BE167" s="11">
        <v>0</v>
      </c>
      <c r="BF167" s="11">
        <f>167</f>
        <v>167</v>
      </c>
      <c r="BH167" s="11">
        <f>F167*AO167</f>
        <v>0</v>
      </c>
      <c r="BI167" s="11">
        <f>F167*AP167</f>
        <v>0</v>
      </c>
      <c r="BJ167" s="11">
        <f>F167*G167</f>
        <v>0</v>
      </c>
      <c r="BK167" s="12" t="s">
        <v>64</v>
      </c>
      <c r="BL167" s="11">
        <v>731</v>
      </c>
      <c r="BW167" s="11">
        <v>21</v>
      </c>
      <c r="BX167" s="3" t="s">
        <v>181</v>
      </c>
    </row>
    <row r="168" spans="1:76" ht="24.75">
      <c r="A168" s="29" t="s">
        <v>514</v>
      </c>
      <c r="B168" s="2" t="s">
        <v>515</v>
      </c>
      <c r="C168" s="40" t="s">
        <v>516</v>
      </c>
      <c r="D168" s="38"/>
      <c r="E168" s="2" t="s">
        <v>60</v>
      </c>
      <c r="F168" s="11">
        <v>1</v>
      </c>
      <c r="G168" s="109">
        <v>0</v>
      </c>
      <c r="H168" s="11">
        <f>ROUND(F168*AO168,2)</f>
        <v>0</v>
      </c>
      <c r="I168" s="11">
        <f>ROUND(F168*AP168,2)</f>
        <v>0</v>
      </c>
      <c r="J168" s="11">
        <f>ROUND(F168*G168,2)</f>
        <v>0</v>
      </c>
      <c r="K168" s="108" t="s">
        <v>52</v>
      </c>
      <c r="Z168" s="11">
        <f>ROUND(IF(AQ168="5",BJ168,0),2)</f>
        <v>0</v>
      </c>
      <c r="AB168" s="11">
        <f>ROUND(IF(AQ168="1",BH168,0),2)</f>
        <v>0</v>
      </c>
      <c r="AC168" s="11">
        <f>ROUND(IF(AQ168="1",BI168,0),2)</f>
        <v>0</v>
      </c>
      <c r="AD168" s="11">
        <f>ROUND(IF(AQ168="7",BH168,0),2)</f>
        <v>0</v>
      </c>
      <c r="AE168" s="11">
        <f>ROUND(IF(AQ168="7",BI168,0),2)</f>
        <v>0</v>
      </c>
      <c r="AF168" s="11">
        <f>ROUND(IF(AQ168="2",BH168,0),2)</f>
        <v>0</v>
      </c>
      <c r="AG168" s="11">
        <f>ROUND(IF(AQ168="2",BI168,0),2)</f>
        <v>0</v>
      </c>
      <c r="AH168" s="11">
        <f>ROUND(IF(AQ168="0",BJ168,0),2)</f>
        <v>0</v>
      </c>
      <c r="AI168" s="6" t="s">
        <v>462</v>
      </c>
      <c r="AJ168" s="11">
        <f>IF(AN168=0,J168,0)</f>
        <v>0</v>
      </c>
      <c r="AK168" s="11">
        <f>IF(AN168=12,J168,0)</f>
        <v>0</v>
      </c>
      <c r="AL168" s="11">
        <f>IF(AN168=21,J168,0)</f>
        <v>0</v>
      </c>
      <c r="AN168" s="11">
        <v>21</v>
      </c>
      <c r="AO168" s="11">
        <f>G168*1</f>
        <v>0</v>
      </c>
      <c r="AP168" s="11">
        <f>G168*(1-1)</f>
        <v>0</v>
      </c>
      <c r="AQ168" s="12" t="s">
        <v>81</v>
      </c>
      <c r="AV168" s="11">
        <f>ROUND(AW168+AX168,2)</f>
        <v>0</v>
      </c>
      <c r="AW168" s="11">
        <f>ROUND(F168*AO168,2)</f>
        <v>0</v>
      </c>
      <c r="AX168" s="11">
        <f>ROUND(F168*AP168,2)</f>
        <v>0</v>
      </c>
      <c r="AY168" s="12" t="s">
        <v>182</v>
      </c>
      <c r="AZ168" s="12" t="s">
        <v>513</v>
      </c>
      <c r="BA168" s="6" t="s">
        <v>465</v>
      </c>
      <c r="BC168" s="11">
        <f>AW168+AX168</f>
        <v>0</v>
      </c>
      <c r="BD168" s="11">
        <f>G168/(100-BE168)*100</f>
        <v>0</v>
      </c>
      <c r="BE168" s="11">
        <v>0</v>
      </c>
      <c r="BF168" s="11">
        <f>168</f>
        <v>168</v>
      </c>
      <c r="BH168" s="11">
        <f>F168*AO168</f>
        <v>0</v>
      </c>
      <c r="BI168" s="11">
        <f>F168*AP168</f>
        <v>0</v>
      </c>
      <c r="BJ168" s="11">
        <f>F168*G168</f>
        <v>0</v>
      </c>
      <c r="BK168" s="12" t="s">
        <v>64</v>
      </c>
      <c r="BL168" s="11">
        <v>731</v>
      </c>
      <c r="BW168" s="11">
        <v>21</v>
      </c>
      <c r="BX168" s="3" t="s">
        <v>516</v>
      </c>
    </row>
    <row r="169" spans="1:76">
      <c r="A169" s="29" t="s">
        <v>517</v>
      </c>
      <c r="B169" s="2" t="s">
        <v>518</v>
      </c>
      <c r="C169" s="40" t="s">
        <v>519</v>
      </c>
      <c r="D169" s="38"/>
      <c r="E169" s="2" t="s">
        <v>60</v>
      </c>
      <c r="F169" s="11">
        <v>1</v>
      </c>
      <c r="G169" s="109">
        <v>0</v>
      </c>
      <c r="H169" s="11">
        <f>ROUND(F169*AO169,2)</f>
        <v>0</v>
      </c>
      <c r="I169" s="11">
        <f>ROUND(F169*AP169,2)</f>
        <v>0</v>
      </c>
      <c r="J169" s="11">
        <f>ROUND(F169*G169,2)</f>
        <v>0</v>
      </c>
      <c r="K169" s="108" t="s">
        <v>52</v>
      </c>
      <c r="Z169" s="11">
        <f>ROUND(IF(AQ169="5",BJ169,0),2)</f>
        <v>0</v>
      </c>
      <c r="AB169" s="11">
        <f>ROUND(IF(AQ169="1",BH169,0),2)</f>
        <v>0</v>
      </c>
      <c r="AC169" s="11">
        <f>ROUND(IF(AQ169="1",BI169,0),2)</f>
        <v>0</v>
      </c>
      <c r="AD169" s="11">
        <f>ROUND(IF(AQ169="7",BH169,0),2)</f>
        <v>0</v>
      </c>
      <c r="AE169" s="11">
        <f>ROUND(IF(AQ169="7",BI169,0),2)</f>
        <v>0</v>
      </c>
      <c r="AF169" s="11">
        <f>ROUND(IF(AQ169="2",BH169,0),2)</f>
        <v>0</v>
      </c>
      <c r="AG169" s="11">
        <f>ROUND(IF(AQ169="2",BI169,0),2)</f>
        <v>0</v>
      </c>
      <c r="AH169" s="11">
        <f>ROUND(IF(AQ169="0",BJ169,0),2)</f>
        <v>0</v>
      </c>
      <c r="AI169" s="6" t="s">
        <v>462</v>
      </c>
      <c r="AJ169" s="11">
        <f>IF(AN169=0,J169,0)</f>
        <v>0</v>
      </c>
      <c r="AK169" s="11">
        <f>IF(AN169=12,J169,0)</f>
        <v>0</v>
      </c>
      <c r="AL169" s="11">
        <f>IF(AN169=21,J169,0)</f>
        <v>0</v>
      </c>
      <c r="AN169" s="11">
        <v>21</v>
      </c>
      <c r="AO169" s="11">
        <f>G169*0.916579771</f>
        <v>0</v>
      </c>
      <c r="AP169" s="11">
        <f>G169*(1-0.916579771)</f>
        <v>0</v>
      </c>
      <c r="AQ169" s="12" t="s">
        <v>81</v>
      </c>
      <c r="AV169" s="11">
        <f>ROUND(AW169+AX169,2)</f>
        <v>0</v>
      </c>
      <c r="AW169" s="11">
        <f>ROUND(F169*AO169,2)</f>
        <v>0</v>
      </c>
      <c r="AX169" s="11">
        <f>ROUND(F169*AP169,2)</f>
        <v>0</v>
      </c>
      <c r="AY169" s="12" t="s">
        <v>182</v>
      </c>
      <c r="AZ169" s="12" t="s">
        <v>513</v>
      </c>
      <c r="BA169" s="6" t="s">
        <v>465</v>
      </c>
      <c r="BC169" s="11">
        <f>AW169+AX169</f>
        <v>0</v>
      </c>
      <c r="BD169" s="11">
        <f>G169/(100-BE169)*100</f>
        <v>0</v>
      </c>
      <c r="BE169" s="11">
        <v>0</v>
      </c>
      <c r="BF169" s="11">
        <f>169</f>
        <v>169</v>
      </c>
      <c r="BH169" s="11">
        <f>F169*AO169</f>
        <v>0</v>
      </c>
      <c r="BI169" s="11">
        <f>F169*AP169</f>
        <v>0</v>
      </c>
      <c r="BJ169" s="11">
        <f>F169*G169</f>
        <v>0</v>
      </c>
      <c r="BK169" s="12" t="s">
        <v>64</v>
      </c>
      <c r="BL169" s="11">
        <v>731</v>
      </c>
      <c r="BW169" s="11">
        <v>21</v>
      </c>
      <c r="BX169" s="3" t="s">
        <v>519</v>
      </c>
    </row>
    <row r="170" spans="1:76">
      <c r="A170" s="29" t="s">
        <v>520</v>
      </c>
      <c r="B170" s="2" t="s">
        <v>521</v>
      </c>
      <c r="C170" s="40" t="s">
        <v>522</v>
      </c>
      <c r="D170" s="38"/>
      <c r="E170" s="2" t="s">
        <v>60</v>
      </c>
      <c r="F170" s="11">
        <v>1</v>
      </c>
      <c r="G170" s="109">
        <v>0</v>
      </c>
      <c r="H170" s="11">
        <f>ROUND(F170*AO170,2)</f>
        <v>0</v>
      </c>
      <c r="I170" s="11">
        <f>ROUND(F170*AP170,2)</f>
        <v>0</v>
      </c>
      <c r="J170" s="11">
        <f>ROUND(F170*G170,2)</f>
        <v>0</v>
      </c>
      <c r="K170" s="108" t="s">
        <v>52</v>
      </c>
      <c r="Z170" s="11">
        <f>ROUND(IF(AQ170="5",BJ170,0),2)</f>
        <v>0</v>
      </c>
      <c r="AB170" s="11">
        <f>ROUND(IF(AQ170="1",BH170,0),2)</f>
        <v>0</v>
      </c>
      <c r="AC170" s="11">
        <f>ROUND(IF(AQ170="1",BI170,0),2)</f>
        <v>0</v>
      </c>
      <c r="AD170" s="11">
        <f>ROUND(IF(AQ170="7",BH170,0),2)</f>
        <v>0</v>
      </c>
      <c r="AE170" s="11">
        <f>ROUND(IF(AQ170="7",BI170,0),2)</f>
        <v>0</v>
      </c>
      <c r="AF170" s="11">
        <f>ROUND(IF(AQ170="2",BH170,0),2)</f>
        <v>0</v>
      </c>
      <c r="AG170" s="11">
        <f>ROUND(IF(AQ170="2",BI170,0),2)</f>
        <v>0</v>
      </c>
      <c r="AH170" s="11">
        <f>ROUND(IF(AQ170="0",BJ170,0),2)</f>
        <v>0</v>
      </c>
      <c r="AI170" s="6" t="s">
        <v>462</v>
      </c>
      <c r="AJ170" s="11">
        <f>IF(AN170=0,J170,0)</f>
        <v>0</v>
      </c>
      <c r="AK170" s="11">
        <f>IF(AN170=12,J170,0)</f>
        <v>0</v>
      </c>
      <c r="AL170" s="11">
        <f>IF(AN170=21,J170,0)</f>
        <v>0</v>
      </c>
      <c r="AN170" s="11">
        <v>21</v>
      </c>
      <c r="AO170" s="11">
        <f>G170*1</f>
        <v>0</v>
      </c>
      <c r="AP170" s="11">
        <f>G170*(1-1)</f>
        <v>0</v>
      </c>
      <c r="AQ170" s="12" t="s">
        <v>81</v>
      </c>
      <c r="AV170" s="11">
        <f>ROUND(AW170+AX170,2)</f>
        <v>0</v>
      </c>
      <c r="AW170" s="11">
        <f>ROUND(F170*AO170,2)</f>
        <v>0</v>
      </c>
      <c r="AX170" s="11">
        <f>ROUND(F170*AP170,2)</f>
        <v>0</v>
      </c>
      <c r="AY170" s="12" t="s">
        <v>182</v>
      </c>
      <c r="AZ170" s="12" t="s">
        <v>513</v>
      </c>
      <c r="BA170" s="6" t="s">
        <v>465</v>
      </c>
      <c r="BC170" s="11">
        <f>AW170+AX170</f>
        <v>0</v>
      </c>
      <c r="BD170" s="11">
        <f>G170/(100-BE170)*100</f>
        <v>0</v>
      </c>
      <c r="BE170" s="11">
        <v>0</v>
      </c>
      <c r="BF170" s="11">
        <f>170</f>
        <v>170</v>
      </c>
      <c r="BH170" s="11">
        <f>F170*AO170</f>
        <v>0</v>
      </c>
      <c r="BI170" s="11">
        <f>F170*AP170</f>
        <v>0</v>
      </c>
      <c r="BJ170" s="11">
        <f>F170*G170</f>
        <v>0</v>
      </c>
      <c r="BK170" s="12" t="s">
        <v>64</v>
      </c>
      <c r="BL170" s="11">
        <v>731</v>
      </c>
      <c r="BW170" s="11">
        <v>21</v>
      </c>
      <c r="BX170" s="3" t="s">
        <v>522</v>
      </c>
    </row>
    <row r="171" spans="1:76" ht="24.75">
      <c r="A171" s="29" t="s">
        <v>523</v>
      </c>
      <c r="B171" s="30" t="s">
        <v>524</v>
      </c>
      <c r="C171" s="105" t="s">
        <v>525</v>
      </c>
      <c r="D171" s="70"/>
      <c r="E171" s="30" t="s">
        <v>259</v>
      </c>
      <c r="F171" s="106">
        <v>1</v>
      </c>
      <c r="G171" s="107">
        <v>0</v>
      </c>
      <c r="H171" s="106">
        <f>ROUND(F171*AO171,2)</f>
        <v>0</v>
      </c>
      <c r="I171" s="106">
        <f>ROUND(F171*AP171,2)</f>
        <v>0</v>
      </c>
      <c r="J171" s="106">
        <f>ROUND(F171*G171,2)</f>
        <v>0</v>
      </c>
      <c r="K171" s="108" t="s">
        <v>52</v>
      </c>
      <c r="Z171" s="11">
        <f>ROUND(IF(AQ171="5",BJ171,0),2)</f>
        <v>0</v>
      </c>
      <c r="AB171" s="11">
        <f>ROUND(IF(AQ171="1",BH171,0),2)</f>
        <v>0</v>
      </c>
      <c r="AC171" s="11">
        <f>ROUND(IF(AQ171="1",BI171,0),2)</f>
        <v>0</v>
      </c>
      <c r="AD171" s="11">
        <f>ROUND(IF(AQ171="7",BH171,0),2)</f>
        <v>0</v>
      </c>
      <c r="AE171" s="11">
        <f>ROUND(IF(AQ171="7",BI171,0),2)</f>
        <v>0</v>
      </c>
      <c r="AF171" s="11">
        <f>ROUND(IF(AQ171="2",BH171,0),2)</f>
        <v>0</v>
      </c>
      <c r="AG171" s="11">
        <f>ROUND(IF(AQ171="2",BI171,0),2)</f>
        <v>0</v>
      </c>
      <c r="AH171" s="11">
        <f>ROUND(IF(AQ171="0",BJ171,0),2)</f>
        <v>0</v>
      </c>
      <c r="AI171" s="6" t="s">
        <v>462</v>
      </c>
      <c r="AJ171" s="11">
        <f>IF(AN171=0,J171,0)</f>
        <v>0</v>
      </c>
      <c r="AK171" s="11">
        <f>IF(AN171=12,J171,0)</f>
        <v>0</v>
      </c>
      <c r="AL171" s="11">
        <f>IF(AN171=21,J171,0)</f>
        <v>0</v>
      </c>
      <c r="AN171" s="11">
        <v>21</v>
      </c>
      <c r="AO171" s="11">
        <f>G171*1</f>
        <v>0</v>
      </c>
      <c r="AP171" s="11">
        <f>G171*(1-1)</f>
        <v>0</v>
      </c>
      <c r="AQ171" s="12" t="s">
        <v>81</v>
      </c>
      <c r="AV171" s="11">
        <f>ROUND(AW171+AX171,2)</f>
        <v>0</v>
      </c>
      <c r="AW171" s="11">
        <f>ROUND(F171*AO171,2)</f>
        <v>0</v>
      </c>
      <c r="AX171" s="11">
        <f>ROUND(F171*AP171,2)</f>
        <v>0</v>
      </c>
      <c r="AY171" s="12" t="s">
        <v>182</v>
      </c>
      <c r="AZ171" s="12" t="s">
        <v>513</v>
      </c>
      <c r="BA171" s="6" t="s">
        <v>465</v>
      </c>
      <c r="BC171" s="11">
        <f>AW171+AX171</f>
        <v>0</v>
      </c>
      <c r="BD171" s="11">
        <f>G171/(100-BE171)*100</f>
        <v>0</v>
      </c>
      <c r="BE171" s="11">
        <v>0</v>
      </c>
      <c r="BF171" s="11">
        <f>171</f>
        <v>171</v>
      </c>
      <c r="BH171" s="11">
        <f>F171*AO171</f>
        <v>0</v>
      </c>
      <c r="BI171" s="11">
        <f>F171*AP171</f>
        <v>0</v>
      </c>
      <c r="BJ171" s="11">
        <f>F171*G171</f>
        <v>0</v>
      </c>
      <c r="BK171" s="12" t="s">
        <v>64</v>
      </c>
      <c r="BL171" s="11">
        <v>731</v>
      </c>
      <c r="BW171" s="11">
        <v>21</v>
      </c>
      <c r="BX171" s="3" t="s">
        <v>525</v>
      </c>
    </row>
    <row r="172" spans="1:76">
      <c r="A172" s="15" t="s">
        <v>52</v>
      </c>
      <c r="B172" s="110" t="s">
        <v>249</v>
      </c>
      <c r="C172" s="111" t="s">
        <v>250</v>
      </c>
      <c r="D172" s="112"/>
      <c r="E172" s="113" t="s">
        <v>4</v>
      </c>
      <c r="F172" s="113" t="s">
        <v>4</v>
      </c>
      <c r="G172" s="97" t="s">
        <v>4</v>
      </c>
      <c r="H172" s="114">
        <f>SUM(H173:H180)</f>
        <v>0</v>
      </c>
      <c r="I172" s="114">
        <f>SUM(I173:I180)</f>
        <v>0</v>
      </c>
      <c r="J172" s="114">
        <f>SUM(J173:J180)</f>
        <v>0</v>
      </c>
      <c r="K172" s="16" t="s">
        <v>52</v>
      </c>
      <c r="AI172" s="6" t="s">
        <v>462</v>
      </c>
      <c r="AS172" s="1">
        <f>SUM(AJ173:AJ180)</f>
        <v>0</v>
      </c>
      <c r="AT172" s="1">
        <f>SUM(AK173:AK180)</f>
        <v>0</v>
      </c>
      <c r="AU172" s="1">
        <f>SUM(AL173:AL180)</f>
        <v>0</v>
      </c>
    </row>
    <row r="173" spans="1:76">
      <c r="A173" s="29" t="s">
        <v>526</v>
      </c>
      <c r="B173" s="30" t="s">
        <v>527</v>
      </c>
      <c r="C173" s="105" t="s">
        <v>528</v>
      </c>
      <c r="D173" s="70"/>
      <c r="E173" s="30" t="s">
        <v>60</v>
      </c>
      <c r="F173" s="106">
        <v>1</v>
      </c>
      <c r="G173" s="107">
        <v>0</v>
      </c>
      <c r="H173" s="106">
        <f>ROUND(F173*AO173,2)</f>
        <v>0</v>
      </c>
      <c r="I173" s="106">
        <f>ROUND(F173*AP173,2)</f>
        <v>0</v>
      </c>
      <c r="J173" s="106">
        <f>ROUND(F173*G173,2)</f>
        <v>0</v>
      </c>
      <c r="K173" s="108" t="s">
        <v>52</v>
      </c>
      <c r="Z173" s="11">
        <f>ROUND(IF(AQ173="5",BJ173,0),2)</f>
        <v>0</v>
      </c>
      <c r="AB173" s="11">
        <f>ROUND(IF(AQ173="1",BH173,0),2)</f>
        <v>0</v>
      </c>
      <c r="AC173" s="11">
        <f>ROUND(IF(AQ173="1",BI173,0),2)</f>
        <v>0</v>
      </c>
      <c r="AD173" s="11">
        <f>ROUND(IF(AQ173="7",BH173,0),2)</f>
        <v>0</v>
      </c>
      <c r="AE173" s="11">
        <f>ROUND(IF(AQ173="7",BI173,0),2)</f>
        <v>0</v>
      </c>
      <c r="AF173" s="11">
        <f>ROUND(IF(AQ173="2",BH173,0),2)</f>
        <v>0</v>
      </c>
      <c r="AG173" s="11">
        <f>ROUND(IF(AQ173="2",BI173,0),2)</f>
        <v>0</v>
      </c>
      <c r="AH173" s="11">
        <f>ROUND(IF(AQ173="0",BJ173,0),2)</f>
        <v>0</v>
      </c>
      <c r="AI173" s="6" t="s">
        <v>462</v>
      </c>
      <c r="AJ173" s="11">
        <f>IF(AN173=0,J173,0)</f>
        <v>0</v>
      </c>
      <c r="AK173" s="11">
        <f>IF(AN173=12,J173,0)</f>
        <v>0</v>
      </c>
      <c r="AL173" s="11">
        <f>IF(AN173=21,J173,0)</f>
        <v>0</v>
      </c>
      <c r="AN173" s="11">
        <v>21</v>
      </c>
      <c r="AO173" s="11">
        <f>G173*1</f>
        <v>0</v>
      </c>
      <c r="AP173" s="11">
        <f>G173*(1-1)</f>
        <v>0</v>
      </c>
      <c r="AQ173" s="12" t="s">
        <v>81</v>
      </c>
      <c r="AV173" s="11">
        <f>ROUND(AW173+AX173,2)</f>
        <v>0</v>
      </c>
      <c r="AW173" s="11">
        <f>ROUND(F173*AO173,2)</f>
        <v>0</v>
      </c>
      <c r="AX173" s="11">
        <f>ROUND(F173*AP173,2)</f>
        <v>0</v>
      </c>
      <c r="AY173" s="12" t="s">
        <v>255</v>
      </c>
      <c r="AZ173" s="12" t="s">
        <v>513</v>
      </c>
      <c r="BA173" s="6" t="s">
        <v>465</v>
      </c>
      <c r="BC173" s="11">
        <f>AW173+AX173</f>
        <v>0</v>
      </c>
      <c r="BD173" s="11">
        <f>G173/(100-BE173)*100</f>
        <v>0</v>
      </c>
      <c r="BE173" s="11">
        <v>0</v>
      </c>
      <c r="BF173" s="11">
        <f>173</f>
        <v>173</v>
      </c>
      <c r="BH173" s="11">
        <f>F173*AO173</f>
        <v>0</v>
      </c>
      <c r="BI173" s="11">
        <f>F173*AP173</f>
        <v>0</v>
      </c>
      <c r="BJ173" s="11">
        <f>F173*G173</f>
        <v>0</v>
      </c>
      <c r="BK173" s="12" t="s">
        <v>64</v>
      </c>
      <c r="BL173" s="11">
        <v>732</v>
      </c>
      <c r="BW173" s="11">
        <v>21</v>
      </c>
      <c r="BX173" s="3" t="s">
        <v>528</v>
      </c>
    </row>
    <row r="174" spans="1:76">
      <c r="A174" s="29" t="s">
        <v>529</v>
      </c>
      <c r="B174" s="2" t="s">
        <v>530</v>
      </c>
      <c r="C174" s="40" t="s">
        <v>531</v>
      </c>
      <c r="D174" s="38"/>
      <c r="E174" s="2" t="s">
        <v>60</v>
      </c>
      <c r="F174" s="11">
        <v>1</v>
      </c>
      <c r="G174" s="109">
        <v>0</v>
      </c>
      <c r="H174" s="11">
        <f>ROUND(F174*AO174,2)</f>
        <v>0</v>
      </c>
      <c r="I174" s="11">
        <f>ROUND(F174*AP174,2)</f>
        <v>0</v>
      </c>
      <c r="J174" s="11">
        <f>ROUND(F174*G174,2)</f>
        <v>0</v>
      </c>
      <c r="K174" s="108" t="s">
        <v>111</v>
      </c>
      <c r="Z174" s="11">
        <f>ROUND(IF(AQ174="5",BJ174,0),2)</f>
        <v>0</v>
      </c>
      <c r="AB174" s="11">
        <f>ROUND(IF(AQ174="1",BH174,0),2)</f>
        <v>0</v>
      </c>
      <c r="AC174" s="11">
        <f>ROUND(IF(AQ174="1",BI174,0),2)</f>
        <v>0</v>
      </c>
      <c r="AD174" s="11">
        <f>ROUND(IF(AQ174="7",BH174,0),2)</f>
        <v>0</v>
      </c>
      <c r="AE174" s="11">
        <f>ROUND(IF(AQ174="7",BI174,0),2)</f>
        <v>0</v>
      </c>
      <c r="AF174" s="11">
        <f>ROUND(IF(AQ174="2",BH174,0),2)</f>
        <v>0</v>
      </c>
      <c r="AG174" s="11">
        <f>ROUND(IF(AQ174="2",BI174,0),2)</f>
        <v>0</v>
      </c>
      <c r="AH174" s="11">
        <f>ROUND(IF(AQ174="0",BJ174,0),2)</f>
        <v>0</v>
      </c>
      <c r="AI174" s="6" t="s">
        <v>462</v>
      </c>
      <c r="AJ174" s="11">
        <f>IF(AN174=0,J174,0)</f>
        <v>0</v>
      </c>
      <c r="AK174" s="11">
        <f>IF(AN174=12,J174,0)</f>
        <v>0</v>
      </c>
      <c r="AL174" s="11">
        <f>IF(AN174=21,J174,0)</f>
        <v>0</v>
      </c>
      <c r="AN174" s="11">
        <v>21</v>
      </c>
      <c r="AO174" s="11">
        <f>G174*0</f>
        <v>0</v>
      </c>
      <c r="AP174" s="11">
        <f>G174*(1-0)</f>
        <v>0</v>
      </c>
      <c r="AQ174" s="12" t="s">
        <v>81</v>
      </c>
      <c r="AV174" s="11">
        <f>ROUND(AW174+AX174,2)</f>
        <v>0</v>
      </c>
      <c r="AW174" s="11">
        <f>ROUND(F174*AO174,2)</f>
        <v>0</v>
      </c>
      <c r="AX174" s="11">
        <f>ROUND(F174*AP174,2)</f>
        <v>0</v>
      </c>
      <c r="AY174" s="12" t="s">
        <v>255</v>
      </c>
      <c r="AZ174" s="12" t="s">
        <v>513</v>
      </c>
      <c r="BA174" s="6" t="s">
        <v>465</v>
      </c>
      <c r="BC174" s="11">
        <f>AW174+AX174</f>
        <v>0</v>
      </c>
      <c r="BD174" s="11">
        <f>G174/(100-BE174)*100</f>
        <v>0</v>
      </c>
      <c r="BE174" s="11">
        <v>0</v>
      </c>
      <c r="BF174" s="11">
        <f>174</f>
        <v>174</v>
      </c>
      <c r="BH174" s="11">
        <f>F174*AO174</f>
        <v>0</v>
      </c>
      <c r="BI174" s="11">
        <f>F174*AP174</f>
        <v>0</v>
      </c>
      <c r="BJ174" s="11">
        <f>F174*G174</f>
        <v>0</v>
      </c>
      <c r="BK174" s="12" t="s">
        <v>64</v>
      </c>
      <c r="BL174" s="11">
        <v>732</v>
      </c>
      <c r="BW174" s="11">
        <v>21</v>
      </c>
      <c r="BX174" s="3" t="s">
        <v>531</v>
      </c>
    </row>
    <row r="175" spans="1:76">
      <c r="A175" s="29" t="s">
        <v>532</v>
      </c>
      <c r="B175" s="2" t="s">
        <v>533</v>
      </c>
      <c r="C175" s="40" t="s">
        <v>534</v>
      </c>
      <c r="D175" s="38"/>
      <c r="E175" s="2" t="s">
        <v>60</v>
      </c>
      <c r="F175" s="11">
        <v>1</v>
      </c>
      <c r="G175" s="109">
        <v>0</v>
      </c>
      <c r="H175" s="11">
        <f>ROUND(F175*AO175,2)</f>
        <v>0</v>
      </c>
      <c r="I175" s="11">
        <f>ROUND(F175*AP175,2)</f>
        <v>0</v>
      </c>
      <c r="J175" s="11">
        <f>ROUND(F175*G175,2)</f>
        <v>0</v>
      </c>
      <c r="K175" s="108" t="s">
        <v>52</v>
      </c>
      <c r="Z175" s="11">
        <f>ROUND(IF(AQ175="5",BJ175,0),2)</f>
        <v>0</v>
      </c>
      <c r="AB175" s="11">
        <f>ROUND(IF(AQ175="1",BH175,0),2)</f>
        <v>0</v>
      </c>
      <c r="AC175" s="11">
        <f>ROUND(IF(AQ175="1",BI175,0),2)</f>
        <v>0</v>
      </c>
      <c r="AD175" s="11">
        <f>ROUND(IF(AQ175="7",BH175,0),2)</f>
        <v>0</v>
      </c>
      <c r="AE175" s="11">
        <f>ROUND(IF(AQ175="7",BI175,0),2)</f>
        <v>0</v>
      </c>
      <c r="AF175" s="11">
        <f>ROUND(IF(AQ175="2",BH175,0),2)</f>
        <v>0</v>
      </c>
      <c r="AG175" s="11">
        <f>ROUND(IF(AQ175="2",BI175,0),2)</f>
        <v>0</v>
      </c>
      <c r="AH175" s="11">
        <f>ROUND(IF(AQ175="0",BJ175,0),2)</f>
        <v>0</v>
      </c>
      <c r="AI175" s="6" t="s">
        <v>462</v>
      </c>
      <c r="AJ175" s="11">
        <f>IF(AN175=0,J175,0)</f>
        <v>0</v>
      </c>
      <c r="AK175" s="11">
        <f>IF(AN175=12,J175,0)</f>
        <v>0</v>
      </c>
      <c r="AL175" s="11">
        <f>IF(AN175=21,J175,0)</f>
        <v>0</v>
      </c>
      <c r="AN175" s="11">
        <v>21</v>
      </c>
      <c r="AO175" s="11">
        <f>G175*1</f>
        <v>0</v>
      </c>
      <c r="AP175" s="11">
        <f>G175*(1-1)</f>
        <v>0</v>
      </c>
      <c r="AQ175" s="12" t="s">
        <v>81</v>
      </c>
      <c r="AV175" s="11">
        <f>ROUND(AW175+AX175,2)</f>
        <v>0</v>
      </c>
      <c r="AW175" s="11">
        <f>ROUND(F175*AO175,2)</f>
        <v>0</v>
      </c>
      <c r="AX175" s="11">
        <f>ROUND(F175*AP175,2)</f>
        <v>0</v>
      </c>
      <c r="AY175" s="12" t="s">
        <v>255</v>
      </c>
      <c r="AZ175" s="12" t="s">
        <v>513</v>
      </c>
      <c r="BA175" s="6" t="s">
        <v>465</v>
      </c>
      <c r="BC175" s="11">
        <f>AW175+AX175</f>
        <v>0</v>
      </c>
      <c r="BD175" s="11">
        <f>G175/(100-BE175)*100</f>
        <v>0</v>
      </c>
      <c r="BE175" s="11">
        <v>0</v>
      </c>
      <c r="BF175" s="11">
        <f>175</f>
        <v>175</v>
      </c>
      <c r="BH175" s="11">
        <f>F175*AO175</f>
        <v>0</v>
      </c>
      <c r="BI175" s="11">
        <f>F175*AP175</f>
        <v>0</v>
      </c>
      <c r="BJ175" s="11">
        <f>F175*G175</f>
        <v>0</v>
      </c>
      <c r="BK175" s="12" t="s">
        <v>64</v>
      </c>
      <c r="BL175" s="11">
        <v>732</v>
      </c>
      <c r="BW175" s="11">
        <v>21</v>
      </c>
      <c r="BX175" s="3" t="s">
        <v>534</v>
      </c>
    </row>
    <row r="176" spans="1:76">
      <c r="A176" s="29" t="s">
        <v>535</v>
      </c>
      <c r="B176" s="2" t="s">
        <v>536</v>
      </c>
      <c r="C176" s="40" t="s">
        <v>537</v>
      </c>
      <c r="D176" s="38"/>
      <c r="E176" s="2" t="s">
        <v>60</v>
      </c>
      <c r="F176" s="11">
        <v>1</v>
      </c>
      <c r="G176" s="109">
        <v>0</v>
      </c>
      <c r="H176" s="11">
        <f>ROUND(F176*AO176,2)</f>
        <v>0</v>
      </c>
      <c r="I176" s="11">
        <f>ROUND(F176*AP176,2)</f>
        <v>0</v>
      </c>
      <c r="J176" s="11">
        <f>ROUND(F176*G176,2)</f>
        <v>0</v>
      </c>
      <c r="K176" s="108" t="s">
        <v>111</v>
      </c>
      <c r="Z176" s="11">
        <f>ROUND(IF(AQ176="5",BJ176,0),2)</f>
        <v>0</v>
      </c>
      <c r="AB176" s="11">
        <f>ROUND(IF(AQ176="1",BH176,0),2)</f>
        <v>0</v>
      </c>
      <c r="AC176" s="11">
        <f>ROUND(IF(AQ176="1",BI176,0),2)</f>
        <v>0</v>
      </c>
      <c r="AD176" s="11">
        <f>ROUND(IF(AQ176="7",BH176,0),2)</f>
        <v>0</v>
      </c>
      <c r="AE176" s="11">
        <f>ROUND(IF(AQ176="7",BI176,0),2)</f>
        <v>0</v>
      </c>
      <c r="AF176" s="11">
        <f>ROUND(IF(AQ176="2",BH176,0),2)</f>
        <v>0</v>
      </c>
      <c r="AG176" s="11">
        <f>ROUND(IF(AQ176="2",BI176,0),2)</f>
        <v>0</v>
      </c>
      <c r="AH176" s="11">
        <f>ROUND(IF(AQ176="0",BJ176,0),2)</f>
        <v>0</v>
      </c>
      <c r="AI176" s="6" t="s">
        <v>462</v>
      </c>
      <c r="AJ176" s="11">
        <f>IF(AN176=0,J176,0)</f>
        <v>0</v>
      </c>
      <c r="AK176" s="11">
        <f>IF(AN176=12,J176,0)</f>
        <v>0</v>
      </c>
      <c r="AL176" s="11">
        <f>IF(AN176=21,J176,0)</f>
        <v>0</v>
      </c>
      <c r="AN176" s="11">
        <v>21</v>
      </c>
      <c r="AO176" s="11">
        <f>G176*0</f>
        <v>0</v>
      </c>
      <c r="AP176" s="11">
        <f>G176*(1-0)</f>
        <v>0</v>
      </c>
      <c r="AQ176" s="12" t="s">
        <v>81</v>
      </c>
      <c r="AV176" s="11">
        <f>ROUND(AW176+AX176,2)</f>
        <v>0</v>
      </c>
      <c r="AW176" s="11">
        <f>ROUND(F176*AO176,2)</f>
        <v>0</v>
      </c>
      <c r="AX176" s="11">
        <f>ROUND(F176*AP176,2)</f>
        <v>0</v>
      </c>
      <c r="AY176" s="12" t="s">
        <v>255</v>
      </c>
      <c r="AZ176" s="12" t="s">
        <v>513</v>
      </c>
      <c r="BA176" s="6" t="s">
        <v>465</v>
      </c>
      <c r="BC176" s="11">
        <f>AW176+AX176</f>
        <v>0</v>
      </c>
      <c r="BD176" s="11">
        <f>G176/(100-BE176)*100</f>
        <v>0</v>
      </c>
      <c r="BE176" s="11">
        <v>0</v>
      </c>
      <c r="BF176" s="11">
        <f>176</f>
        <v>176</v>
      </c>
      <c r="BH176" s="11">
        <f>F176*AO176</f>
        <v>0</v>
      </c>
      <c r="BI176" s="11">
        <f>F176*AP176</f>
        <v>0</v>
      </c>
      <c r="BJ176" s="11">
        <f>F176*G176</f>
        <v>0</v>
      </c>
      <c r="BK176" s="12" t="s">
        <v>64</v>
      </c>
      <c r="BL176" s="11">
        <v>732</v>
      </c>
      <c r="BW176" s="11">
        <v>21</v>
      </c>
      <c r="BX176" s="3" t="s">
        <v>537</v>
      </c>
    </row>
    <row r="177" spans="1:76">
      <c r="A177" s="29" t="s">
        <v>538</v>
      </c>
      <c r="B177" s="2" t="s">
        <v>290</v>
      </c>
      <c r="C177" s="40" t="s">
        <v>291</v>
      </c>
      <c r="D177" s="38"/>
      <c r="E177" s="2" t="s">
        <v>60</v>
      </c>
      <c r="F177" s="11">
        <v>1</v>
      </c>
      <c r="G177" s="109">
        <v>0</v>
      </c>
      <c r="H177" s="11">
        <f>ROUND(F177*AO177,2)</f>
        <v>0</v>
      </c>
      <c r="I177" s="11">
        <f>ROUND(F177*AP177,2)</f>
        <v>0</v>
      </c>
      <c r="J177" s="11">
        <f>ROUND(F177*G177,2)</f>
        <v>0</v>
      </c>
      <c r="K177" s="108" t="s">
        <v>111</v>
      </c>
      <c r="Z177" s="11">
        <f>ROUND(IF(AQ177="5",BJ177,0),2)</f>
        <v>0</v>
      </c>
      <c r="AB177" s="11">
        <f>ROUND(IF(AQ177="1",BH177,0),2)</f>
        <v>0</v>
      </c>
      <c r="AC177" s="11">
        <f>ROUND(IF(AQ177="1",BI177,0),2)</f>
        <v>0</v>
      </c>
      <c r="AD177" s="11">
        <f>ROUND(IF(AQ177="7",BH177,0),2)</f>
        <v>0</v>
      </c>
      <c r="AE177" s="11">
        <f>ROUND(IF(AQ177="7",BI177,0),2)</f>
        <v>0</v>
      </c>
      <c r="AF177" s="11">
        <f>ROUND(IF(AQ177="2",BH177,0),2)</f>
        <v>0</v>
      </c>
      <c r="AG177" s="11">
        <f>ROUND(IF(AQ177="2",BI177,0),2)</f>
        <v>0</v>
      </c>
      <c r="AH177" s="11">
        <f>ROUND(IF(AQ177="0",BJ177,0),2)</f>
        <v>0</v>
      </c>
      <c r="AI177" s="6" t="s">
        <v>462</v>
      </c>
      <c r="AJ177" s="11">
        <f>IF(AN177=0,J177,0)</f>
        <v>0</v>
      </c>
      <c r="AK177" s="11">
        <f>IF(AN177=12,J177,0)</f>
        <v>0</v>
      </c>
      <c r="AL177" s="11">
        <f>IF(AN177=21,J177,0)</f>
        <v>0</v>
      </c>
      <c r="AN177" s="11">
        <v>21</v>
      </c>
      <c r="AO177" s="11">
        <f>G177*0</f>
        <v>0</v>
      </c>
      <c r="AP177" s="11">
        <f>G177*(1-0)</f>
        <v>0</v>
      </c>
      <c r="AQ177" s="12" t="s">
        <v>81</v>
      </c>
      <c r="AV177" s="11">
        <f>ROUND(AW177+AX177,2)</f>
        <v>0</v>
      </c>
      <c r="AW177" s="11">
        <f>ROUND(F177*AO177,2)</f>
        <v>0</v>
      </c>
      <c r="AX177" s="11">
        <f>ROUND(F177*AP177,2)</f>
        <v>0</v>
      </c>
      <c r="AY177" s="12" t="s">
        <v>255</v>
      </c>
      <c r="AZ177" s="12" t="s">
        <v>513</v>
      </c>
      <c r="BA177" s="6" t="s">
        <v>465</v>
      </c>
      <c r="BC177" s="11">
        <f>AW177+AX177</f>
        <v>0</v>
      </c>
      <c r="BD177" s="11">
        <f>G177/(100-BE177)*100</f>
        <v>0</v>
      </c>
      <c r="BE177" s="11">
        <v>0</v>
      </c>
      <c r="BF177" s="11">
        <f>177</f>
        <v>177</v>
      </c>
      <c r="BH177" s="11">
        <f>F177*AO177</f>
        <v>0</v>
      </c>
      <c r="BI177" s="11">
        <f>F177*AP177</f>
        <v>0</v>
      </c>
      <c r="BJ177" s="11">
        <f>F177*G177</f>
        <v>0</v>
      </c>
      <c r="BK177" s="12" t="s">
        <v>64</v>
      </c>
      <c r="BL177" s="11">
        <v>732</v>
      </c>
      <c r="BW177" s="11">
        <v>21</v>
      </c>
      <c r="BX177" s="3" t="s">
        <v>291</v>
      </c>
    </row>
    <row r="178" spans="1:76">
      <c r="A178" s="29" t="s">
        <v>539</v>
      </c>
      <c r="B178" s="2" t="s">
        <v>293</v>
      </c>
      <c r="C178" s="40" t="s">
        <v>294</v>
      </c>
      <c r="D178" s="38"/>
      <c r="E178" s="2" t="s">
        <v>60</v>
      </c>
      <c r="F178" s="11">
        <v>1</v>
      </c>
      <c r="G178" s="109">
        <v>0</v>
      </c>
      <c r="H178" s="11">
        <f>ROUND(F178*AO178,2)</f>
        <v>0</v>
      </c>
      <c r="I178" s="11">
        <f>ROUND(F178*AP178,2)</f>
        <v>0</v>
      </c>
      <c r="J178" s="11">
        <f>ROUND(F178*G178,2)</f>
        <v>0</v>
      </c>
      <c r="K178" s="108" t="s">
        <v>111</v>
      </c>
      <c r="Z178" s="11">
        <f>ROUND(IF(AQ178="5",BJ178,0),2)</f>
        <v>0</v>
      </c>
      <c r="AB178" s="11">
        <f>ROUND(IF(AQ178="1",BH178,0),2)</f>
        <v>0</v>
      </c>
      <c r="AC178" s="11">
        <f>ROUND(IF(AQ178="1",BI178,0),2)</f>
        <v>0</v>
      </c>
      <c r="AD178" s="11">
        <f>ROUND(IF(AQ178="7",BH178,0),2)</f>
        <v>0</v>
      </c>
      <c r="AE178" s="11">
        <f>ROUND(IF(AQ178="7",BI178,0),2)</f>
        <v>0</v>
      </c>
      <c r="AF178" s="11">
        <f>ROUND(IF(AQ178="2",BH178,0),2)</f>
        <v>0</v>
      </c>
      <c r="AG178" s="11">
        <f>ROUND(IF(AQ178="2",BI178,0),2)</f>
        <v>0</v>
      </c>
      <c r="AH178" s="11">
        <f>ROUND(IF(AQ178="0",BJ178,0),2)</f>
        <v>0</v>
      </c>
      <c r="AI178" s="6" t="s">
        <v>462</v>
      </c>
      <c r="AJ178" s="11">
        <f>IF(AN178=0,J178,0)</f>
        <v>0</v>
      </c>
      <c r="AK178" s="11">
        <f>IF(AN178=12,J178,0)</f>
        <v>0</v>
      </c>
      <c r="AL178" s="11">
        <f>IF(AN178=21,J178,0)</f>
        <v>0</v>
      </c>
      <c r="AN178" s="11">
        <v>21</v>
      </c>
      <c r="AO178" s="11">
        <f>G178*0</f>
        <v>0</v>
      </c>
      <c r="AP178" s="11">
        <f>G178*(1-0)</f>
        <v>0</v>
      </c>
      <c r="AQ178" s="12" t="s">
        <v>81</v>
      </c>
      <c r="AV178" s="11">
        <f>ROUND(AW178+AX178,2)</f>
        <v>0</v>
      </c>
      <c r="AW178" s="11">
        <f>ROUND(F178*AO178,2)</f>
        <v>0</v>
      </c>
      <c r="AX178" s="11">
        <f>ROUND(F178*AP178,2)</f>
        <v>0</v>
      </c>
      <c r="AY178" s="12" t="s">
        <v>255</v>
      </c>
      <c r="AZ178" s="12" t="s">
        <v>513</v>
      </c>
      <c r="BA178" s="6" t="s">
        <v>465</v>
      </c>
      <c r="BC178" s="11">
        <f>AW178+AX178</f>
        <v>0</v>
      </c>
      <c r="BD178" s="11">
        <f>G178/(100-BE178)*100</f>
        <v>0</v>
      </c>
      <c r="BE178" s="11">
        <v>0</v>
      </c>
      <c r="BF178" s="11">
        <f>178</f>
        <v>178</v>
      </c>
      <c r="BH178" s="11">
        <f>F178*AO178</f>
        <v>0</v>
      </c>
      <c r="BI178" s="11">
        <f>F178*AP178</f>
        <v>0</v>
      </c>
      <c r="BJ178" s="11">
        <f>F178*G178</f>
        <v>0</v>
      </c>
      <c r="BK178" s="12" t="s">
        <v>64</v>
      </c>
      <c r="BL178" s="11">
        <v>732</v>
      </c>
      <c r="BW178" s="11">
        <v>21</v>
      </c>
      <c r="BX178" s="3" t="s">
        <v>294</v>
      </c>
    </row>
    <row r="179" spans="1:76">
      <c r="A179" s="29" t="s">
        <v>540</v>
      </c>
      <c r="B179" s="2" t="s">
        <v>541</v>
      </c>
      <c r="C179" s="40" t="s">
        <v>542</v>
      </c>
      <c r="D179" s="38"/>
      <c r="E179" s="2" t="s">
        <v>60</v>
      </c>
      <c r="F179" s="11">
        <v>1</v>
      </c>
      <c r="G179" s="109">
        <v>0</v>
      </c>
      <c r="H179" s="11">
        <f>ROUND(F179*AO179,2)</f>
        <v>0</v>
      </c>
      <c r="I179" s="11">
        <f>ROUND(F179*AP179,2)</f>
        <v>0</v>
      </c>
      <c r="J179" s="11">
        <f>ROUND(F179*G179,2)</f>
        <v>0</v>
      </c>
      <c r="K179" s="108" t="s">
        <v>111</v>
      </c>
      <c r="Z179" s="11">
        <f>ROUND(IF(AQ179="5",BJ179,0),2)</f>
        <v>0</v>
      </c>
      <c r="AB179" s="11">
        <f>ROUND(IF(AQ179="1",BH179,0),2)</f>
        <v>0</v>
      </c>
      <c r="AC179" s="11">
        <f>ROUND(IF(AQ179="1",BI179,0),2)</f>
        <v>0</v>
      </c>
      <c r="AD179" s="11">
        <f>ROUND(IF(AQ179="7",BH179,0),2)</f>
        <v>0</v>
      </c>
      <c r="AE179" s="11">
        <f>ROUND(IF(AQ179="7",BI179,0),2)</f>
        <v>0</v>
      </c>
      <c r="AF179" s="11">
        <f>ROUND(IF(AQ179="2",BH179,0),2)</f>
        <v>0</v>
      </c>
      <c r="AG179" s="11">
        <f>ROUND(IF(AQ179="2",BI179,0),2)</f>
        <v>0</v>
      </c>
      <c r="AH179" s="11">
        <f>ROUND(IF(AQ179="0",BJ179,0),2)</f>
        <v>0</v>
      </c>
      <c r="AI179" s="6" t="s">
        <v>462</v>
      </c>
      <c r="AJ179" s="11">
        <f>IF(AN179=0,J179,0)</f>
        <v>0</v>
      </c>
      <c r="AK179" s="11">
        <f>IF(AN179=12,J179,0)</f>
        <v>0</v>
      </c>
      <c r="AL179" s="11">
        <f>IF(AN179=21,J179,0)</f>
        <v>0</v>
      </c>
      <c r="AN179" s="11">
        <v>21</v>
      </c>
      <c r="AO179" s="11">
        <f>G179*0.047477954</f>
        <v>0</v>
      </c>
      <c r="AP179" s="11">
        <f>G179*(1-0.047477954)</f>
        <v>0</v>
      </c>
      <c r="AQ179" s="12" t="s">
        <v>81</v>
      </c>
      <c r="AV179" s="11">
        <f>ROUND(AW179+AX179,2)</f>
        <v>0</v>
      </c>
      <c r="AW179" s="11">
        <f>ROUND(F179*AO179,2)</f>
        <v>0</v>
      </c>
      <c r="AX179" s="11">
        <f>ROUND(F179*AP179,2)</f>
        <v>0</v>
      </c>
      <c r="AY179" s="12" t="s">
        <v>255</v>
      </c>
      <c r="AZ179" s="12" t="s">
        <v>513</v>
      </c>
      <c r="BA179" s="6" t="s">
        <v>465</v>
      </c>
      <c r="BC179" s="11">
        <f>AW179+AX179</f>
        <v>0</v>
      </c>
      <c r="BD179" s="11">
        <f>G179/(100-BE179)*100</f>
        <v>0</v>
      </c>
      <c r="BE179" s="11">
        <v>0</v>
      </c>
      <c r="BF179" s="11">
        <f>179</f>
        <v>179</v>
      </c>
      <c r="BH179" s="11">
        <f>F179*AO179</f>
        <v>0</v>
      </c>
      <c r="BI179" s="11">
        <f>F179*AP179</f>
        <v>0</v>
      </c>
      <c r="BJ179" s="11">
        <f>F179*G179</f>
        <v>0</v>
      </c>
      <c r="BK179" s="12" t="s">
        <v>64</v>
      </c>
      <c r="BL179" s="11">
        <v>732</v>
      </c>
      <c r="BW179" s="11">
        <v>21</v>
      </c>
      <c r="BX179" s="3" t="s">
        <v>542</v>
      </c>
    </row>
    <row r="180" spans="1:76">
      <c r="A180" s="29" t="s">
        <v>543</v>
      </c>
      <c r="B180" s="30" t="s">
        <v>544</v>
      </c>
      <c r="C180" s="105" t="s">
        <v>545</v>
      </c>
      <c r="D180" s="70"/>
      <c r="E180" s="30" t="s">
        <v>60</v>
      </c>
      <c r="F180" s="106">
        <v>1</v>
      </c>
      <c r="G180" s="107">
        <v>0</v>
      </c>
      <c r="H180" s="106">
        <f>ROUND(F180*AO180,2)</f>
        <v>0</v>
      </c>
      <c r="I180" s="106">
        <f>ROUND(F180*AP180,2)</f>
        <v>0</v>
      </c>
      <c r="J180" s="106">
        <f>ROUND(F180*G180,2)</f>
        <v>0</v>
      </c>
      <c r="K180" s="108" t="s">
        <v>111</v>
      </c>
      <c r="Z180" s="11">
        <f>ROUND(IF(AQ180="5",BJ180,0),2)</f>
        <v>0</v>
      </c>
      <c r="AB180" s="11">
        <f>ROUND(IF(AQ180="1",BH180,0),2)</f>
        <v>0</v>
      </c>
      <c r="AC180" s="11">
        <f>ROUND(IF(AQ180="1",BI180,0),2)</f>
        <v>0</v>
      </c>
      <c r="AD180" s="11">
        <f>ROUND(IF(AQ180="7",BH180,0),2)</f>
        <v>0</v>
      </c>
      <c r="AE180" s="11">
        <f>ROUND(IF(AQ180="7",BI180,0),2)</f>
        <v>0</v>
      </c>
      <c r="AF180" s="11">
        <f>ROUND(IF(AQ180="2",BH180,0),2)</f>
        <v>0</v>
      </c>
      <c r="AG180" s="11">
        <f>ROUND(IF(AQ180="2",BI180,0),2)</f>
        <v>0</v>
      </c>
      <c r="AH180" s="11">
        <f>ROUND(IF(AQ180="0",BJ180,0),2)</f>
        <v>0</v>
      </c>
      <c r="AI180" s="6" t="s">
        <v>462</v>
      </c>
      <c r="AJ180" s="11">
        <f>IF(AN180=0,J180,0)</f>
        <v>0</v>
      </c>
      <c r="AK180" s="11">
        <f>IF(AN180=12,J180,0)</f>
        <v>0</v>
      </c>
      <c r="AL180" s="11">
        <f>IF(AN180=21,J180,0)</f>
        <v>0</v>
      </c>
      <c r="AN180" s="11">
        <v>21</v>
      </c>
      <c r="AO180" s="11">
        <f>G180*0</f>
        <v>0</v>
      </c>
      <c r="AP180" s="11">
        <f>G180*(1-0)</f>
        <v>0</v>
      </c>
      <c r="AQ180" s="12" t="s">
        <v>81</v>
      </c>
      <c r="AV180" s="11">
        <f>ROUND(AW180+AX180,2)</f>
        <v>0</v>
      </c>
      <c r="AW180" s="11">
        <f>ROUND(F180*AO180,2)</f>
        <v>0</v>
      </c>
      <c r="AX180" s="11">
        <f>ROUND(F180*AP180,2)</f>
        <v>0</v>
      </c>
      <c r="AY180" s="12" t="s">
        <v>255</v>
      </c>
      <c r="AZ180" s="12" t="s">
        <v>513</v>
      </c>
      <c r="BA180" s="6" t="s">
        <v>465</v>
      </c>
      <c r="BC180" s="11">
        <f>AW180+AX180</f>
        <v>0</v>
      </c>
      <c r="BD180" s="11">
        <f>G180/(100-BE180)*100</f>
        <v>0</v>
      </c>
      <c r="BE180" s="11">
        <v>0</v>
      </c>
      <c r="BF180" s="11">
        <f>180</f>
        <v>180</v>
      </c>
      <c r="BH180" s="11">
        <f>F180*AO180</f>
        <v>0</v>
      </c>
      <c r="BI180" s="11">
        <f>F180*AP180</f>
        <v>0</v>
      </c>
      <c r="BJ180" s="11">
        <f>F180*G180</f>
        <v>0</v>
      </c>
      <c r="BK180" s="12" t="s">
        <v>64</v>
      </c>
      <c r="BL180" s="11">
        <v>732</v>
      </c>
      <c r="BW180" s="11">
        <v>21</v>
      </c>
      <c r="BX180" s="3" t="s">
        <v>545</v>
      </c>
    </row>
    <row r="181" spans="1:76">
      <c r="A181" s="15" t="s">
        <v>52</v>
      </c>
      <c r="B181" s="110" t="s">
        <v>313</v>
      </c>
      <c r="C181" s="111" t="s">
        <v>314</v>
      </c>
      <c r="D181" s="112"/>
      <c r="E181" s="113" t="s">
        <v>4</v>
      </c>
      <c r="F181" s="113" t="s">
        <v>4</v>
      </c>
      <c r="G181" s="97" t="s">
        <v>4</v>
      </c>
      <c r="H181" s="114">
        <f>SUM(H182:H189)</f>
        <v>0</v>
      </c>
      <c r="I181" s="114">
        <f>SUM(I182:I189)</f>
        <v>0</v>
      </c>
      <c r="J181" s="114">
        <f>SUM(J182:J189)</f>
        <v>0</v>
      </c>
      <c r="K181" s="16" t="s">
        <v>52</v>
      </c>
      <c r="AI181" s="6" t="s">
        <v>462</v>
      </c>
      <c r="AS181" s="1">
        <f>SUM(AJ182:AJ189)</f>
        <v>0</v>
      </c>
      <c r="AT181" s="1">
        <f>SUM(AK182:AK189)</f>
        <v>0</v>
      </c>
      <c r="AU181" s="1">
        <f>SUM(AL182:AL189)</f>
        <v>0</v>
      </c>
    </row>
    <row r="182" spans="1:76">
      <c r="A182" s="29" t="s">
        <v>546</v>
      </c>
      <c r="B182" s="30" t="s">
        <v>329</v>
      </c>
      <c r="C182" s="105" t="s">
        <v>547</v>
      </c>
      <c r="D182" s="70"/>
      <c r="E182" s="30" t="s">
        <v>120</v>
      </c>
      <c r="F182" s="106">
        <v>10</v>
      </c>
      <c r="G182" s="107">
        <v>0</v>
      </c>
      <c r="H182" s="106">
        <f>ROUND(F182*AO182,2)</f>
        <v>0</v>
      </c>
      <c r="I182" s="106">
        <f>ROUND(F182*AP182,2)</f>
        <v>0</v>
      </c>
      <c r="J182" s="106">
        <f>ROUND(F182*G182,2)</f>
        <v>0</v>
      </c>
      <c r="K182" s="108" t="s">
        <v>111</v>
      </c>
      <c r="Z182" s="11">
        <f>ROUND(IF(AQ182="5",BJ182,0),2)</f>
        <v>0</v>
      </c>
      <c r="AB182" s="11">
        <f>ROUND(IF(AQ182="1",BH182,0),2)</f>
        <v>0</v>
      </c>
      <c r="AC182" s="11">
        <f>ROUND(IF(AQ182="1",BI182,0),2)</f>
        <v>0</v>
      </c>
      <c r="AD182" s="11">
        <f>ROUND(IF(AQ182="7",BH182,0),2)</f>
        <v>0</v>
      </c>
      <c r="AE182" s="11">
        <f>ROUND(IF(AQ182="7",BI182,0),2)</f>
        <v>0</v>
      </c>
      <c r="AF182" s="11">
        <f>ROUND(IF(AQ182="2",BH182,0),2)</f>
        <v>0</v>
      </c>
      <c r="AG182" s="11">
        <f>ROUND(IF(AQ182="2",BI182,0),2)</f>
        <v>0</v>
      </c>
      <c r="AH182" s="11">
        <f>ROUND(IF(AQ182="0",BJ182,0),2)</f>
        <v>0</v>
      </c>
      <c r="AI182" s="6" t="s">
        <v>462</v>
      </c>
      <c r="AJ182" s="11">
        <f>IF(AN182=0,J182,0)</f>
        <v>0</v>
      </c>
      <c r="AK182" s="11">
        <f>IF(AN182=12,J182,0)</f>
        <v>0</v>
      </c>
      <c r="AL182" s="11">
        <f>IF(AN182=21,J182,0)</f>
        <v>0</v>
      </c>
      <c r="AN182" s="11">
        <v>21</v>
      </c>
      <c r="AO182" s="11">
        <f>G182*0.50383148</f>
        <v>0</v>
      </c>
      <c r="AP182" s="11">
        <f>G182*(1-0.50383148)</f>
        <v>0</v>
      </c>
      <c r="AQ182" s="12" t="s">
        <v>81</v>
      </c>
      <c r="AV182" s="11">
        <f>ROUND(AW182+AX182,2)</f>
        <v>0</v>
      </c>
      <c r="AW182" s="11">
        <f>ROUND(F182*AO182,2)</f>
        <v>0</v>
      </c>
      <c r="AX182" s="11">
        <f>ROUND(F182*AP182,2)</f>
        <v>0</v>
      </c>
      <c r="AY182" s="12" t="s">
        <v>318</v>
      </c>
      <c r="AZ182" s="12" t="s">
        <v>513</v>
      </c>
      <c r="BA182" s="6" t="s">
        <v>465</v>
      </c>
      <c r="BC182" s="11">
        <f>AW182+AX182</f>
        <v>0</v>
      </c>
      <c r="BD182" s="11">
        <f>G182/(100-BE182)*100</f>
        <v>0</v>
      </c>
      <c r="BE182" s="11">
        <v>0</v>
      </c>
      <c r="BF182" s="11">
        <f>182</f>
        <v>182</v>
      </c>
      <c r="BH182" s="11">
        <f>F182*AO182</f>
        <v>0</v>
      </c>
      <c r="BI182" s="11">
        <f>F182*AP182</f>
        <v>0</v>
      </c>
      <c r="BJ182" s="11">
        <f>F182*G182</f>
        <v>0</v>
      </c>
      <c r="BK182" s="12" t="s">
        <v>64</v>
      </c>
      <c r="BL182" s="11">
        <v>733</v>
      </c>
      <c r="BW182" s="11">
        <v>21</v>
      </c>
      <c r="BX182" s="3" t="s">
        <v>547</v>
      </c>
    </row>
    <row r="183" spans="1:76">
      <c r="A183" s="29" t="s">
        <v>548</v>
      </c>
      <c r="B183" s="2" t="s">
        <v>549</v>
      </c>
      <c r="C183" s="40" t="s">
        <v>550</v>
      </c>
      <c r="D183" s="38"/>
      <c r="E183" s="2" t="s">
        <v>120</v>
      </c>
      <c r="F183" s="11">
        <v>4</v>
      </c>
      <c r="G183" s="109">
        <v>0</v>
      </c>
      <c r="H183" s="11">
        <f>ROUND(F183*AO183,2)</f>
        <v>0</v>
      </c>
      <c r="I183" s="11">
        <f>ROUND(F183*AP183,2)</f>
        <v>0</v>
      </c>
      <c r="J183" s="11">
        <f>ROUND(F183*G183,2)</f>
        <v>0</v>
      </c>
      <c r="K183" s="108" t="s">
        <v>111</v>
      </c>
      <c r="Z183" s="11">
        <f>ROUND(IF(AQ183="5",BJ183,0),2)</f>
        <v>0</v>
      </c>
      <c r="AB183" s="11">
        <f>ROUND(IF(AQ183="1",BH183,0),2)</f>
        <v>0</v>
      </c>
      <c r="AC183" s="11">
        <f>ROUND(IF(AQ183="1",BI183,0),2)</f>
        <v>0</v>
      </c>
      <c r="AD183" s="11">
        <f>ROUND(IF(AQ183="7",BH183,0),2)</f>
        <v>0</v>
      </c>
      <c r="AE183" s="11">
        <f>ROUND(IF(AQ183="7",BI183,0),2)</f>
        <v>0</v>
      </c>
      <c r="AF183" s="11">
        <f>ROUND(IF(AQ183="2",BH183,0),2)</f>
        <v>0</v>
      </c>
      <c r="AG183" s="11">
        <f>ROUND(IF(AQ183="2",BI183,0),2)</f>
        <v>0</v>
      </c>
      <c r="AH183" s="11">
        <f>ROUND(IF(AQ183="0",BJ183,0),2)</f>
        <v>0</v>
      </c>
      <c r="AI183" s="6" t="s">
        <v>462</v>
      </c>
      <c r="AJ183" s="11">
        <f>IF(AN183=0,J183,0)</f>
        <v>0</v>
      </c>
      <c r="AK183" s="11">
        <f>IF(AN183=12,J183,0)</f>
        <v>0</v>
      </c>
      <c r="AL183" s="11">
        <f>IF(AN183=21,J183,0)</f>
        <v>0</v>
      </c>
      <c r="AN183" s="11">
        <v>21</v>
      </c>
      <c r="AO183" s="11">
        <f>G183*0.423057281</f>
        <v>0</v>
      </c>
      <c r="AP183" s="11">
        <f>G183*(1-0.423057281)</f>
        <v>0</v>
      </c>
      <c r="AQ183" s="12" t="s">
        <v>81</v>
      </c>
      <c r="AV183" s="11">
        <f>ROUND(AW183+AX183,2)</f>
        <v>0</v>
      </c>
      <c r="AW183" s="11">
        <f>ROUND(F183*AO183,2)</f>
        <v>0</v>
      </c>
      <c r="AX183" s="11">
        <f>ROUND(F183*AP183,2)</f>
        <v>0</v>
      </c>
      <c r="AY183" s="12" t="s">
        <v>318</v>
      </c>
      <c r="AZ183" s="12" t="s">
        <v>513</v>
      </c>
      <c r="BA183" s="6" t="s">
        <v>465</v>
      </c>
      <c r="BC183" s="11">
        <f>AW183+AX183</f>
        <v>0</v>
      </c>
      <c r="BD183" s="11">
        <f>G183/(100-BE183)*100</f>
        <v>0</v>
      </c>
      <c r="BE183" s="11">
        <v>0</v>
      </c>
      <c r="BF183" s="11">
        <f>183</f>
        <v>183</v>
      </c>
      <c r="BH183" s="11">
        <f>F183*AO183</f>
        <v>0</v>
      </c>
      <c r="BI183" s="11">
        <f>F183*AP183</f>
        <v>0</v>
      </c>
      <c r="BJ183" s="11">
        <f>F183*G183</f>
        <v>0</v>
      </c>
      <c r="BK183" s="12" t="s">
        <v>64</v>
      </c>
      <c r="BL183" s="11">
        <v>733</v>
      </c>
      <c r="BW183" s="11">
        <v>21</v>
      </c>
      <c r="BX183" s="3" t="s">
        <v>550</v>
      </c>
    </row>
    <row r="184" spans="1:76">
      <c r="A184" s="29" t="s">
        <v>551</v>
      </c>
      <c r="B184" s="2" t="s">
        <v>332</v>
      </c>
      <c r="C184" s="40" t="s">
        <v>552</v>
      </c>
      <c r="D184" s="38"/>
      <c r="E184" s="2" t="s">
        <v>120</v>
      </c>
      <c r="F184" s="11">
        <v>14</v>
      </c>
      <c r="G184" s="109">
        <v>0</v>
      </c>
      <c r="H184" s="11">
        <f>ROUND(F184*AO184,2)</f>
        <v>0</v>
      </c>
      <c r="I184" s="11">
        <f>ROUND(F184*AP184,2)</f>
        <v>0</v>
      </c>
      <c r="J184" s="11">
        <f>ROUND(F184*G184,2)</f>
        <v>0</v>
      </c>
      <c r="K184" s="108" t="s">
        <v>111</v>
      </c>
      <c r="Z184" s="11">
        <f>ROUND(IF(AQ184="5",BJ184,0),2)</f>
        <v>0</v>
      </c>
      <c r="AB184" s="11">
        <f>ROUND(IF(AQ184="1",BH184,0),2)</f>
        <v>0</v>
      </c>
      <c r="AC184" s="11">
        <f>ROUND(IF(AQ184="1",BI184,0),2)</f>
        <v>0</v>
      </c>
      <c r="AD184" s="11">
        <f>ROUND(IF(AQ184="7",BH184,0),2)</f>
        <v>0</v>
      </c>
      <c r="AE184" s="11">
        <f>ROUND(IF(AQ184="7",BI184,0),2)</f>
        <v>0</v>
      </c>
      <c r="AF184" s="11">
        <f>ROUND(IF(AQ184="2",BH184,0),2)</f>
        <v>0</v>
      </c>
      <c r="AG184" s="11">
        <f>ROUND(IF(AQ184="2",BI184,0),2)</f>
        <v>0</v>
      </c>
      <c r="AH184" s="11">
        <f>ROUND(IF(AQ184="0",BJ184,0),2)</f>
        <v>0</v>
      </c>
      <c r="AI184" s="6" t="s">
        <v>462</v>
      </c>
      <c r="AJ184" s="11">
        <f>IF(AN184=0,J184,0)</f>
        <v>0</v>
      </c>
      <c r="AK184" s="11">
        <f>IF(AN184=12,J184,0)</f>
        <v>0</v>
      </c>
      <c r="AL184" s="11">
        <f>IF(AN184=21,J184,0)</f>
        <v>0</v>
      </c>
      <c r="AN184" s="11">
        <v>21</v>
      </c>
      <c r="AO184" s="11">
        <f>G184*0.021538462</f>
        <v>0</v>
      </c>
      <c r="AP184" s="11">
        <f>G184*(1-0.021538462)</f>
        <v>0</v>
      </c>
      <c r="AQ184" s="12" t="s">
        <v>81</v>
      </c>
      <c r="AV184" s="11">
        <f>ROUND(AW184+AX184,2)</f>
        <v>0</v>
      </c>
      <c r="AW184" s="11">
        <f>ROUND(F184*AO184,2)</f>
        <v>0</v>
      </c>
      <c r="AX184" s="11">
        <f>ROUND(F184*AP184,2)</f>
        <v>0</v>
      </c>
      <c r="AY184" s="12" t="s">
        <v>318</v>
      </c>
      <c r="AZ184" s="12" t="s">
        <v>513</v>
      </c>
      <c r="BA184" s="6" t="s">
        <v>465</v>
      </c>
      <c r="BC184" s="11">
        <f>AW184+AX184</f>
        <v>0</v>
      </c>
      <c r="BD184" s="11">
        <f>G184/(100-BE184)*100</f>
        <v>0</v>
      </c>
      <c r="BE184" s="11">
        <v>0</v>
      </c>
      <c r="BF184" s="11">
        <f>184</f>
        <v>184</v>
      </c>
      <c r="BH184" s="11">
        <f>F184*AO184</f>
        <v>0</v>
      </c>
      <c r="BI184" s="11">
        <f>F184*AP184</f>
        <v>0</v>
      </c>
      <c r="BJ184" s="11">
        <f>F184*G184</f>
        <v>0</v>
      </c>
      <c r="BK184" s="12" t="s">
        <v>64</v>
      </c>
      <c r="BL184" s="11">
        <v>733</v>
      </c>
      <c r="BW184" s="11">
        <v>21</v>
      </c>
      <c r="BX184" s="3" t="s">
        <v>552</v>
      </c>
    </row>
    <row r="185" spans="1:76">
      <c r="A185" s="29" t="s">
        <v>553</v>
      </c>
      <c r="B185" s="2" t="s">
        <v>554</v>
      </c>
      <c r="C185" s="40" t="s">
        <v>555</v>
      </c>
      <c r="D185" s="38"/>
      <c r="E185" s="2" t="s">
        <v>60</v>
      </c>
      <c r="F185" s="11">
        <v>6</v>
      </c>
      <c r="G185" s="109">
        <v>0</v>
      </c>
      <c r="H185" s="11">
        <f>ROUND(F185*AO185,2)</f>
        <v>0</v>
      </c>
      <c r="I185" s="11">
        <f>ROUND(F185*AP185,2)</f>
        <v>0</v>
      </c>
      <c r="J185" s="11">
        <f>ROUND(F185*G185,2)</f>
        <v>0</v>
      </c>
      <c r="K185" s="108" t="s">
        <v>111</v>
      </c>
      <c r="Z185" s="11">
        <f>ROUND(IF(AQ185="5",BJ185,0),2)</f>
        <v>0</v>
      </c>
      <c r="AB185" s="11">
        <f>ROUND(IF(AQ185="1",BH185,0),2)</f>
        <v>0</v>
      </c>
      <c r="AC185" s="11">
        <f>ROUND(IF(AQ185="1",BI185,0),2)</f>
        <v>0</v>
      </c>
      <c r="AD185" s="11">
        <f>ROUND(IF(AQ185="7",BH185,0),2)</f>
        <v>0</v>
      </c>
      <c r="AE185" s="11">
        <f>ROUND(IF(AQ185="7",BI185,0),2)</f>
        <v>0</v>
      </c>
      <c r="AF185" s="11">
        <f>ROUND(IF(AQ185="2",BH185,0),2)</f>
        <v>0</v>
      </c>
      <c r="AG185" s="11">
        <f>ROUND(IF(AQ185="2",BI185,0),2)</f>
        <v>0</v>
      </c>
      <c r="AH185" s="11">
        <f>ROUND(IF(AQ185="0",BJ185,0),2)</f>
        <v>0</v>
      </c>
      <c r="AI185" s="6" t="s">
        <v>462</v>
      </c>
      <c r="AJ185" s="11">
        <f>IF(AN185=0,J185,0)</f>
        <v>0</v>
      </c>
      <c r="AK185" s="11">
        <f>IF(AN185=12,J185,0)</f>
        <v>0</v>
      </c>
      <c r="AL185" s="11">
        <f>IF(AN185=21,J185,0)</f>
        <v>0</v>
      </c>
      <c r="AN185" s="11">
        <v>21</v>
      </c>
      <c r="AO185" s="11">
        <f>G185*0</f>
        <v>0</v>
      </c>
      <c r="AP185" s="11">
        <f>G185*(1-0)</f>
        <v>0</v>
      </c>
      <c r="AQ185" s="12" t="s">
        <v>81</v>
      </c>
      <c r="AV185" s="11">
        <f>ROUND(AW185+AX185,2)</f>
        <v>0</v>
      </c>
      <c r="AW185" s="11">
        <f>ROUND(F185*AO185,2)</f>
        <v>0</v>
      </c>
      <c r="AX185" s="11">
        <f>ROUND(F185*AP185,2)</f>
        <v>0</v>
      </c>
      <c r="AY185" s="12" t="s">
        <v>318</v>
      </c>
      <c r="AZ185" s="12" t="s">
        <v>513</v>
      </c>
      <c r="BA185" s="6" t="s">
        <v>465</v>
      </c>
      <c r="BC185" s="11">
        <f>AW185+AX185</f>
        <v>0</v>
      </c>
      <c r="BD185" s="11">
        <f>G185/(100-BE185)*100</f>
        <v>0</v>
      </c>
      <c r="BE185" s="11">
        <v>0</v>
      </c>
      <c r="BF185" s="11">
        <f>185</f>
        <v>185</v>
      </c>
      <c r="BH185" s="11">
        <f>F185*AO185</f>
        <v>0</v>
      </c>
      <c r="BI185" s="11">
        <f>F185*AP185</f>
        <v>0</v>
      </c>
      <c r="BJ185" s="11">
        <f>F185*G185</f>
        <v>0</v>
      </c>
      <c r="BK185" s="12" t="s">
        <v>64</v>
      </c>
      <c r="BL185" s="11">
        <v>733</v>
      </c>
      <c r="BW185" s="11">
        <v>21</v>
      </c>
      <c r="BX185" s="3" t="s">
        <v>555</v>
      </c>
    </row>
    <row r="186" spans="1:76">
      <c r="A186" s="29" t="s">
        <v>556</v>
      </c>
      <c r="B186" s="2" t="s">
        <v>557</v>
      </c>
      <c r="C186" s="40" t="s">
        <v>558</v>
      </c>
      <c r="D186" s="38"/>
      <c r="E186" s="2" t="s">
        <v>60</v>
      </c>
      <c r="F186" s="11">
        <v>4</v>
      </c>
      <c r="G186" s="109">
        <v>0</v>
      </c>
      <c r="H186" s="11">
        <f>ROUND(F186*AO186,2)</f>
        <v>0</v>
      </c>
      <c r="I186" s="11">
        <f>ROUND(F186*AP186,2)</f>
        <v>0</v>
      </c>
      <c r="J186" s="11">
        <f>ROUND(F186*G186,2)</f>
        <v>0</v>
      </c>
      <c r="K186" s="108" t="s">
        <v>111</v>
      </c>
      <c r="Z186" s="11">
        <f>ROUND(IF(AQ186="5",BJ186,0),2)</f>
        <v>0</v>
      </c>
      <c r="AB186" s="11">
        <f>ROUND(IF(AQ186="1",BH186,0),2)</f>
        <v>0</v>
      </c>
      <c r="AC186" s="11">
        <f>ROUND(IF(AQ186="1",BI186,0),2)</f>
        <v>0</v>
      </c>
      <c r="AD186" s="11">
        <f>ROUND(IF(AQ186="7",BH186,0),2)</f>
        <v>0</v>
      </c>
      <c r="AE186" s="11">
        <f>ROUND(IF(AQ186="7",BI186,0),2)</f>
        <v>0</v>
      </c>
      <c r="AF186" s="11">
        <f>ROUND(IF(AQ186="2",BH186,0),2)</f>
        <v>0</v>
      </c>
      <c r="AG186" s="11">
        <f>ROUND(IF(AQ186="2",BI186,0),2)</f>
        <v>0</v>
      </c>
      <c r="AH186" s="11">
        <f>ROUND(IF(AQ186="0",BJ186,0),2)</f>
        <v>0</v>
      </c>
      <c r="AI186" s="6" t="s">
        <v>462</v>
      </c>
      <c r="AJ186" s="11">
        <f>IF(AN186=0,J186,0)</f>
        <v>0</v>
      </c>
      <c r="AK186" s="11">
        <f>IF(AN186=12,J186,0)</f>
        <v>0</v>
      </c>
      <c r="AL186" s="11">
        <f>IF(AN186=21,J186,0)</f>
        <v>0</v>
      </c>
      <c r="AN186" s="11">
        <v>21</v>
      </c>
      <c r="AO186" s="11">
        <f>G186*0</f>
        <v>0</v>
      </c>
      <c r="AP186" s="11">
        <f>G186*(1-0)</f>
        <v>0</v>
      </c>
      <c r="AQ186" s="12" t="s">
        <v>81</v>
      </c>
      <c r="AV186" s="11">
        <f>ROUND(AW186+AX186,2)</f>
        <v>0</v>
      </c>
      <c r="AW186" s="11">
        <f>ROUND(F186*AO186,2)</f>
        <v>0</v>
      </c>
      <c r="AX186" s="11">
        <f>ROUND(F186*AP186,2)</f>
        <v>0</v>
      </c>
      <c r="AY186" s="12" t="s">
        <v>318</v>
      </c>
      <c r="AZ186" s="12" t="s">
        <v>513</v>
      </c>
      <c r="BA186" s="6" t="s">
        <v>465</v>
      </c>
      <c r="BC186" s="11">
        <f>AW186+AX186</f>
        <v>0</v>
      </c>
      <c r="BD186" s="11">
        <f>G186/(100-BE186)*100</f>
        <v>0</v>
      </c>
      <c r="BE186" s="11">
        <v>0</v>
      </c>
      <c r="BF186" s="11">
        <f>186</f>
        <v>186</v>
      </c>
      <c r="BH186" s="11">
        <f>F186*AO186</f>
        <v>0</v>
      </c>
      <c r="BI186" s="11">
        <f>F186*AP186</f>
        <v>0</v>
      </c>
      <c r="BJ186" s="11">
        <f>F186*G186</f>
        <v>0</v>
      </c>
      <c r="BK186" s="12" t="s">
        <v>64</v>
      </c>
      <c r="BL186" s="11">
        <v>733</v>
      </c>
      <c r="BW186" s="11">
        <v>21</v>
      </c>
      <c r="BX186" s="3" t="s">
        <v>558</v>
      </c>
    </row>
    <row r="187" spans="1:76">
      <c r="A187" s="29" t="s">
        <v>559</v>
      </c>
      <c r="B187" s="2" t="s">
        <v>560</v>
      </c>
      <c r="C187" s="40" t="s">
        <v>336</v>
      </c>
      <c r="D187" s="38"/>
      <c r="E187" s="2" t="s">
        <v>80</v>
      </c>
      <c r="F187" s="11">
        <v>1</v>
      </c>
      <c r="G187" s="109">
        <v>0</v>
      </c>
      <c r="H187" s="11">
        <f>ROUND(F187*AO187,2)</f>
        <v>0</v>
      </c>
      <c r="I187" s="11">
        <f>ROUND(F187*AP187,2)</f>
        <v>0</v>
      </c>
      <c r="J187" s="11">
        <f>ROUND(F187*G187,2)</f>
        <v>0</v>
      </c>
      <c r="K187" s="108" t="s">
        <v>111</v>
      </c>
      <c r="Z187" s="11">
        <f>ROUND(IF(AQ187="5",BJ187,0),2)</f>
        <v>0</v>
      </c>
      <c r="AB187" s="11">
        <f>ROUND(IF(AQ187="1",BH187,0),2)</f>
        <v>0</v>
      </c>
      <c r="AC187" s="11">
        <f>ROUND(IF(AQ187="1",BI187,0),2)</f>
        <v>0</v>
      </c>
      <c r="AD187" s="11">
        <f>ROUND(IF(AQ187="7",BH187,0),2)</f>
        <v>0</v>
      </c>
      <c r="AE187" s="11">
        <f>ROUND(IF(AQ187="7",BI187,0),2)</f>
        <v>0</v>
      </c>
      <c r="AF187" s="11">
        <f>ROUND(IF(AQ187="2",BH187,0),2)</f>
        <v>0</v>
      </c>
      <c r="AG187" s="11">
        <f>ROUND(IF(AQ187="2",BI187,0),2)</f>
        <v>0</v>
      </c>
      <c r="AH187" s="11">
        <f>ROUND(IF(AQ187="0",BJ187,0),2)</f>
        <v>0</v>
      </c>
      <c r="AI187" s="6" t="s">
        <v>462</v>
      </c>
      <c r="AJ187" s="11">
        <f>IF(AN187=0,J187,0)</f>
        <v>0</v>
      </c>
      <c r="AK187" s="11">
        <f>IF(AN187=12,J187,0)</f>
        <v>0</v>
      </c>
      <c r="AL187" s="11">
        <f>IF(AN187=21,J187,0)</f>
        <v>0</v>
      </c>
      <c r="AN187" s="11">
        <v>21</v>
      </c>
      <c r="AO187" s="11">
        <f>G187*0</f>
        <v>0</v>
      </c>
      <c r="AP187" s="11">
        <f>G187*(1-0)</f>
        <v>0</v>
      </c>
      <c r="AQ187" s="12" t="s">
        <v>65</v>
      </c>
      <c r="AV187" s="11">
        <f>ROUND(AW187+AX187,2)</f>
        <v>0</v>
      </c>
      <c r="AW187" s="11">
        <f>ROUND(F187*AO187,2)</f>
        <v>0</v>
      </c>
      <c r="AX187" s="11">
        <f>ROUND(F187*AP187,2)</f>
        <v>0</v>
      </c>
      <c r="AY187" s="12" t="s">
        <v>318</v>
      </c>
      <c r="AZ187" s="12" t="s">
        <v>513</v>
      </c>
      <c r="BA187" s="6" t="s">
        <v>465</v>
      </c>
      <c r="BC187" s="11">
        <f>AW187+AX187</f>
        <v>0</v>
      </c>
      <c r="BD187" s="11">
        <f>G187/(100-BE187)*100</f>
        <v>0</v>
      </c>
      <c r="BE187" s="11">
        <v>0</v>
      </c>
      <c r="BF187" s="11">
        <f>187</f>
        <v>187</v>
      </c>
      <c r="BH187" s="11">
        <f>F187*AO187</f>
        <v>0</v>
      </c>
      <c r="BI187" s="11">
        <f>F187*AP187</f>
        <v>0</v>
      </c>
      <c r="BJ187" s="11">
        <f>F187*G187</f>
        <v>0</v>
      </c>
      <c r="BK187" s="12" t="s">
        <v>64</v>
      </c>
      <c r="BL187" s="11">
        <v>733</v>
      </c>
      <c r="BW187" s="11">
        <v>21</v>
      </c>
      <c r="BX187" s="3" t="s">
        <v>336</v>
      </c>
    </row>
    <row r="188" spans="1:76">
      <c r="A188" s="29" t="s">
        <v>561</v>
      </c>
      <c r="B188" s="2" t="s">
        <v>341</v>
      </c>
      <c r="C188" s="40" t="s">
        <v>342</v>
      </c>
      <c r="D188" s="38"/>
      <c r="E188" s="2" t="s">
        <v>127</v>
      </c>
      <c r="F188" s="11">
        <v>9.1060000000000002E-2</v>
      </c>
      <c r="G188" s="109">
        <v>0</v>
      </c>
      <c r="H188" s="11">
        <f>ROUND(F188*AO188,2)</f>
        <v>0</v>
      </c>
      <c r="I188" s="11">
        <f>ROUND(F188*AP188,2)</f>
        <v>0</v>
      </c>
      <c r="J188" s="11">
        <f>ROUND(F188*G188,2)</f>
        <v>0</v>
      </c>
      <c r="K188" s="108" t="s">
        <v>111</v>
      </c>
      <c r="Z188" s="11">
        <f>ROUND(IF(AQ188="5",BJ188,0),2)</f>
        <v>0</v>
      </c>
      <c r="AB188" s="11">
        <f>ROUND(IF(AQ188="1",BH188,0),2)</f>
        <v>0</v>
      </c>
      <c r="AC188" s="11">
        <f>ROUND(IF(AQ188="1",BI188,0),2)</f>
        <v>0</v>
      </c>
      <c r="AD188" s="11">
        <f>ROUND(IF(AQ188="7",BH188,0),2)</f>
        <v>0</v>
      </c>
      <c r="AE188" s="11">
        <f>ROUND(IF(AQ188="7",BI188,0),2)</f>
        <v>0</v>
      </c>
      <c r="AF188" s="11">
        <f>ROUND(IF(AQ188="2",BH188,0),2)</f>
        <v>0</v>
      </c>
      <c r="AG188" s="11">
        <f>ROUND(IF(AQ188="2",BI188,0),2)</f>
        <v>0</v>
      </c>
      <c r="AH188" s="11">
        <f>ROUND(IF(AQ188="0",BJ188,0),2)</f>
        <v>0</v>
      </c>
      <c r="AI188" s="6" t="s">
        <v>462</v>
      </c>
      <c r="AJ188" s="11">
        <f>IF(AN188=0,J188,0)</f>
        <v>0</v>
      </c>
      <c r="AK188" s="11">
        <f>IF(AN188=12,J188,0)</f>
        <v>0</v>
      </c>
      <c r="AL188" s="11">
        <f>IF(AN188=21,J188,0)</f>
        <v>0</v>
      </c>
      <c r="AN188" s="11">
        <v>21</v>
      </c>
      <c r="AO188" s="11">
        <f>G188*0</f>
        <v>0</v>
      </c>
      <c r="AP188" s="11">
        <f>G188*(1-0)</f>
        <v>0</v>
      </c>
      <c r="AQ188" s="12" t="s">
        <v>74</v>
      </c>
      <c r="AV188" s="11">
        <f>ROUND(AW188+AX188,2)</f>
        <v>0</v>
      </c>
      <c r="AW188" s="11">
        <f>ROUND(F188*AO188,2)</f>
        <v>0</v>
      </c>
      <c r="AX188" s="11">
        <f>ROUND(F188*AP188,2)</f>
        <v>0</v>
      </c>
      <c r="AY188" s="12" t="s">
        <v>318</v>
      </c>
      <c r="AZ188" s="12" t="s">
        <v>513</v>
      </c>
      <c r="BA188" s="6" t="s">
        <v>465</v>
      </c>
      <c r="BC188" s="11">
        <f>AW188+AX188</f>
        <v>0</v>
      </c>
      <c r="BD188" s="11">
        <f>G188/(100-BE188)*100</f>
        <v>0</v>
      </c>
      <c r="BE188" s="11">
        <v>0</v>
      </c>
      <c r="BF188" s="11">
        <f>188</f>
        <v>188</v>
      </c>
      <c r="BH188" s="11">
        <f>F188*AO188</f>
        <v>0</v>
      </c>
      <c r="BI188" s="11">
        <f>F188*AP188</f>
        <v>0</v>
      </c>
      <c r="BJ188" s="11">
        <f>F188*G188</f>
        <v>0</v>
      </c>
      <c r="BK188" s="12" t="s">
        <v>64</v>
      </c>
      <c r="BL188" s="11">
        <v>733</v>
      </c>
      <c r="BW188" s="11">
        <v>21</v>
      </c>
      <c r="BX188" s="3" t="s">
        <v>342</v>
      </c>
    </row>
    <row r="189" spans="1:76">
      <c r="A189" s="29" t="s">
        <v>562</v>
      </c>
      <c r="B189" s="30" t="s">
        <v>344</v>
      </c>
      <c r="C189" s="105" t="s">
        <v>345</v>
      </c>
      <c r="D189" s="70"/>
      <c r="E189" s="30" t="s">
        <v>127</v>
      </c>
      <c r="F189" s="106">
        <v>9.1060000000000002E-2</v>
      </c>
      <c r="G189" s="107">
        <v>0</v>
      </c>
      <c r="H189" s="106">
        <f>ROUND(F189*AO189,2)</f>
        <v>0</v>
      </c>
      <c r="I189" s="106">
        <f>ROUND(F189*AP189,2)</f>
        <v>0</v>
      </c>
      <c r="J189" s="106">
        <f>ROUND(F189*G189,2)</f>
        <v>0</v>
      </c>
      <c r="K189" s="108" t="s">
        <v>111</v>
      </c>
      <c r="Z189" s="11">
        <f>ROUND(IF(AQ189="5",BJ189,0),2)</f>
        <v>0</v>
      </c>
      <c r="AB189" s="11">
        <f>ROUND(IF(AQ189="1",BH189,0),2)</f>
        <v>0</v>
      </c>
      <c r="AC189" s="11">
        <f>ROUND(IF(AQ189="1",BI189,0),2)</f>
        <v>0</v>
      </c>
      <c r="AD189" s="11">
        <f>ROUND(IF(AQ189="7",BH189,0),2)</f>
        <v>0</v>
      </c>
      <c r="AE189" s="11">
        <f>ROUND(IF(AQ189="7",BI189,0),2)</f>
        <v>0</v>
      </c>
      <c r="AF189" s="11">
        <f>ROUND(IF(AQ189="2",BH189,0),2)</f>
        <v>0</v>
      </c>
      <c r="AG189" s="11">
        <f>ROUND(IF(AQ189="2",BI189,0),2)</f>
        <v>0</v>
      </c>
      <c r="AH189" s="11">
        <f>ROUND(IF(AQ189="0",BJ189,0),2)</f>
        <v>0</v>
      </c>
      <c r="AI189" s="6" t="s">
        <v>462</v>
      </c>
      <c r="AJ189" s="11">
        <f>IF(AN189=0,J189,0)</f>
        <v>0</v>
      </c>
      <c r="AK189" s="11">
        <f>IF(AN189=12,J189,0)</f>
        <v>0</v>
      </c>
      <c r="AL189" s="11">
        <f>IF(AN189=21,J189,0)</f>
        <v>0</v>
      </c>
      <c r="AN189" s="11">
        <v>21</v>
      </c>
      <c r="AO189" s="11">
        <f>G189*0</f>
        <v>0</v>
      </c>
      <c r="AP189" s="11">
        <f>G189*(1-0)</f>
        <v>0</v>
      </c>
      <c r="AQ189" s="12" t="s">
        <v>74</v>
      </c>
      <c r="AV189" s="11">
        <f>ROUND(AW189+AX189,2)</f>
        <v>0</v>
      </c>
      <c r="AW189" s="11">
        <f>ROUND(F189*AO189,2)</f>
        <v>0</v>
      </c>
      <c r="AX189" s="11">
        <f>ROUND(F189*AP189,2)</f>
        <v>0</v>
      </c>
      <c r="AY189" s="12" t="s">
        <v>318</v>
      </c>
      <c r="AZ189" s="12" t="s">
        <v>513</v>
      </c>
      <c r="BA189" s="6" t="s">
        <v>465</v>
      </c>
      <c r="BC189" s="11">
        <f>AW189+AX189</f>
        <v>0</v>
      </c>
      <c r="BD189" s="11">
        <f>G189/(100-BE189)*100</f>
        <v>0</v>
      </c>
      <c r="BE189" s="11">
        <v>0</v>
      </c>
      <c r="BF189" s="11">
        <f>189</f>
        <v>189</v>
      </c>
      <c r="BH189" s="11">
        <f>F189*AO189</f>
        <v>0</v>
      </c>
      <c r="BI189" s="11">
        <f>F189*AP189</f>
        <v>0</v>
      </c>
      <c r="BJ189" s="11">
        <f>F189*G189</f>
        <v>0</v>
      </c>
      <c r="BK189" s="12" t="s">
        <v>64</v>
      </c>
      <c r="BL189" s="11">
        <v>733</v>
      </c>
      <c r="BW189" s="11">
        <v>21</v>
      </c>
      <c r="BX189" s="3" t="s">
        <v>345</v>
      </c>
    </row>
    <row r="190" spans="1:76">
      <c r="A190" s="15" t="s">
        <v>52</v>
      </c>
      <c r="B190" s="110" t="s">
        <v>346</v>
      </c>
      <c r="C190" s="111" t="s">
        <v>347</v>
      </c>
      <c r="D190" s="112"/>
      <c r="E190" s="113" t="s">
        <v>4</v>
      </c>
      <c r="F190" s="113" t="s">
        <v>4</v>
      </c>
      <c r="G190" s="97" t="s">
        <v>4</v>
      </c>
      <c r="H190" s="114">
        <f>SUM(H191:H208)</f>
        <v>0</v>
      </c>
      <c r="I190" s="114">
        <f>SUM(I191:I208)</f>
        <v>0</v>
      </c>
      <c r="J190" s="114">
        <f>SUM(J191:J208)</f>
        <v>0</v>
      </c>
      <c r="K190" s="16" t="s">
        <v>52</v>
      </c>
      <c r="AI190" s="6" t="s">
        <v>462</v>
      </c>
      <c r="AS190" s="1">
        <f>SUM(AJ191:AJ208)</f>
        <v>0</v>
      </c>
      <c r="AT190" s="1">
        <f>SUM(AK191:AK208)</f>
        <v>0</v>
      </c>
      <c r="AU190" s="1">
        <f>SUM(AL191:AL208)</f>
        <v>0</v>
      </c>
    </row>
    <row r="191" spans="1:76">
      <c r="A191" s="29" t="s">
        <v>563</v>
      </c>
      <c r="B191" s="30" t="s">
        <v>365</v>
      </c>
      <c r="C191" s="105" t="s">
        <v>564</v>
      </c>
      <c r="D191" s="70"/>
      <c r="E191" s="30" t="s">
        <v>60</v>
      </c>
      <c r="F191" s="106">
        <v>8</v>
      </c>
      <c r="G191" s="107">
        <v>0</v>
      </c>
      <c r="H191" s="106">
        <f>ROUND(F191*AO191,2)</f>
        <v>0</v>
      </c>
      <c r="I191" s="106">
        <f>ROUND(F191*AP191,2)</f>
        <v>0</v>
      </c>
      <c r="J191" s="106">
        <f>ROUND(F191*G191,2)</f>
        <v>0</v>
      </c>
      <c r="K191" s="108" t="s">
        <v>111</v>
      </c>
      <c r="Z191" s="11">
        <f>ROUND(IF(AQ191="5",BJ191,0),2)</f>
        <v>0</v>
      </c>
      <c r="AB191" s="11">
        <f>ROUND(IF(AQ191="1",BH191,0),2)</f>
        <v>0</v>
      </c>
      <c r="AC191" s="11">
        <f>ROUND(IF(AQ191="1",BI191,0),2)</f>
        <v>0</v>
      </c>
      <c r="AD191" s="11">
        <f>ROUND(IF(AQ191="7",BH191,0),2)</f>
        <v>0</v>
      </c>
      <c r="AE191" s="11">
        <f>ROUND(IF(AQ191="7",BI191,0),2)</f>
        <v>0</v>
      </c>
      <c r="AF191" s="11">
        <f>ROUND(IF(AQ191="2",BH191,0),2)</f>
        <v>0</v>
      </c>
      <c r="AG191" s="11">
        <f>ROUND(IF(AQ191="2",BI191,0),2)</f>
        <v>0</v>
      </c>
      <c r="AH191" s="11">
        <f>ROUND(IF(AQ191="0",BJ191,0),2)</f>
        <v>0</v>
      </c>
      <c r="AI191" s="6" t="s">
        <v>462</v>
      </c>
      <c r="AJ191" s="11">
        <f>IF(AN191=0,J191,0)</f>
        <v>0</v>
      </c>
      <c r="AK191" s="11">
        <f>IF(AN191=12,J191,0)</f>
        <v>0</v>
      </c>
      <c r="AL191" s="11">
        <f>IF(AN191=21,J191,0)</f>
        <v>0</v>
      </c>
      <c r="AN191" s="11">
        <v>21</v>
      </c>
      <c r="AO191" s="11">
        <f>G191*0.866783264</f>
        <v>0</v>
      </c>
      <c r="AP191" s="11">
        <f>G191*(1-0.866783264)</f>
        <v>0</v>
      </c>
      <c r="AQ191" s="12" t="s">
        <v>81</v>
      </c>
      <c r="AV191" s="11">
        <f>ROUND(AW191+AX191,2)</f>
        <v>0</v>
      </c>
      <c r="AW191" s="11">
        <f>ROUND(F191*AO191,2)</f>
        <v>0</v>
      </c>
      <c r="AX191" s="11">
        <f>ROUND(F191*AP191,2)</f>
        <v>0</v>
      </c>
      <c r="AY191" s="12" t="s">
        <v>351</v>
      </c>
      <c r="AZ191" s="12" t="s">
        <v>513</v>
      </c>
      <c r="BA191" s="6" t="s">
        <v>465</v>
      </c>
      <c r="BC191" s="11">
        <f>AW191+AX191</f>
        <v>0</v>
      </c>
      <c r="BD191" s="11">
        <f>G191/(100-BE191)*100</f>
        <v>0</v>
      </c>
      <c r="BE191" s="11">
        <v>0</v>
      </c>
      <c r="BF191" s="11">
        <f>191</f>
        <v>191</v>
      </c>
      <c r="BH191" s="11">
        <f>F191*AO191</f>
        <v>0</v>
      </c>
      <c r="BI191" s="11">
        <f>F191*AP191</f>
        <v>0</v>
      </c>
      <c r="BJ191" s="11">
        <f>F191*G191</f>
        <v>0</v>
      </c>
      <c r="BK191" s="12" t="s">
        <v>64</v>
      </c>
      <c r="BL191" s="11">
        <v>734</v>
      </c>
      <c r="BW191" s="11">
        <v>21</v>
      </c>
      <c r="BX191" s="3" t="s">
        <v>564</v>
      </c>
    </row>
    <row r="192" spans="1:76">
      <c r="A192" s="29" t="s">
        <v>565</v>
      </c>
      <c r="B192" s="2" t="s">
        <v>566</v>
      </c>
      <c r="C192" s="40" t="s">
        <v>567</v>
      </c>
      <c r="D192" s="38"/>
      <c r="E192" s="2" t="s">
        <v>60</v>
      </c>
      <c r="F192" s="11">
        <v>1</v>
      </c>
      <c r="G192" s="109">
        <v>0</v>
      </c>
      <c r="H192" s="11">
        <f>ROUND(F192*AO192,2)</f>
        <v>0</v>
      </c>
      <c r="I192" s="11">
        <f>ROUND(F192*AP192,2)</f>
        <v>0</v>
      </c>
      <c r="J192" s="11">
        <f>ROUND(F192*G192,2)</f>
        <v>0</v>
      </c>
      <c r="K192" s="108" t="s">
        <v>111</v>
      </c>
      <c r="Z192" s="11">
        <f>ROUND(IF(AQ192="5",BJ192,0),2)</f>
        <v>0</v>
      </c>
      <c r="AB192" s="11">
        <f>ROUND(IF(AQ192="1",BH192,0),2)</f>
        <v>0</v>
      </c>
      <c r="AC192" s="11">
        <f>ROUND(IF(AQ192="1",BI192,0),2)</f>
        <v>0</v>
      </c>
      <c r="AD192" s="11">
        <f>ROUND(IF(AQ192="7",BH192,0),2)</f>
        <v>0</v>
      </c>
      <c r="AE192" s="11">
        <f>ROUND(IF(AQ192="7",BI192,0),2)</f>
        <v>0</v>
      </c>
      <c r="AF192" s="11">
        <f>ROUND(IF(AQ192="2",BH192,0),2)</f>
        <v>0</v>
      </c>
      <c r="AG192" s="11">
        <f>ROUND(IF(AQ192="2",BI192,0),2)</f>
        <v>0</v>
      </c>
      <c r="AH192" s="11">
        <f>ROUND(IF(AQ192="0",BJ192,0),2)</f>
        <v>0</v>
      </c>
      <c r="AI192" s="6" t="s">
        <v>462</v>
      </c>
      <c r="AJ192" s="11">
        <f>IF(AN192=0,J192,0)</f>
        <v>0</v>
      </c>
      <c r="AK192" s="11">
        <f>IF(AN192=12,J192,0)</f>
        <v>0</v>
      </c>
      <c r="AL192" s="11">
        <f>IF(AN192=21,J192,0)</f>
        <v>0</v>
      </c>
      <c r="AN192" s="11">
        <v>21</v>
      </c>
      <c r="AO192" s="11">
        <f>G192*0.727986348</f>
        <v>0</v>
      </c>
      <c r="AP192" s="11">
        <f>G192*(1-0.727986348)</f>
        <v>0</v>
      </c>
      <c r="AQ192" s="12" t="s">
        <v>81</v>
      </c>
      <c r="AV192" s="11">
        <f>ROUND(AW192+AX192,2)</f>
        <v>0</v>
      </c>
      <c r="AW192" s="11">
        <f>ROUND(F192*AO192,2)</f>
        <v>0</v>
      </c>
      <c r="AX192" s="11">
        <f>ROUND(F192*AP192,2)</f>
        <v>0</v>
      </c>
      <c r="AY192" s="12" t="s">
        <v>351</v>
      </c>
      <c r="AZ192" s="12" t="s">
        <v>513</v>
      </c>
      <c r="BA192" s="6" t="s">
        <v>465</v>
      </c>
      <c r="BC192" s="11">
        <f>AW192+AX192</f>
        <v>0</v>
      </c>
      <c r="BD192" s="11">
        <f>G192/(100-BE192)*100</f>
        <v>0</v>
      </c>
      <c r="BE192" s="11">
        <v>0</v>
      </c>
      <c r="BF192" s="11">
        <f>192</f>
        <v>192</v>
      </c>
      <c r="BH192" s="11">
        <f>F192*AO192</f>
        <v>0</v>
      </c>
      <c r="BI192" s="11">
        <f>F192*AP192</f>
        <v>0</v>
      </c>
      <c r="BJ192" s="11">
        <f>F192*G192</f>
        <v>0</v>
      </c>
      <c r="BK192" s="12" t="s">
        <v>64</v>
      </c>
      <c r="BL192" s="11">
        <v>734</v>
      </c>
      <c r="BW192" s="11">
        <v>21</v>
      </c>
      <c r="BX192" s="3" t="s">
        <v>567</v>
      </c>
    </row>
    <row r="193" spans="1:76">
      <c r="A193" s="29" t="s">
        <v>568</v>
      </c>
      <c r="B193" s="2" t="s">
        <v>569</v>
      </c>
      <c r="C193" s="40" t="s">
        <v>570</v>
      </c>
      <c r="D193" s="38"/>
      <c r="E193" s="2" t="s">
        <v>60</v>
      </c>
      <c r="F193" s="11">
        <v>2</v>
      </c>
      <c r="G193" s="109">
        <v>0</v>
      </c>
      <c r="H193" s="11">
        <f>ROUND(F193*AO193,2)</f>
        <v>0</v>
      </c>
      <c r="I193" s="11">
        <f>ROUND(F193*AP193,2)</f>
        <v>0</v>
      </c>
      <c r="J193" s="11">
        <f>ROUND(F193*G193,2)</f>
        <v>0</v>
      </c>
      <c r="K193" s="108" t="s">
        <v>111</v>
      </c>
      <c r="Z193" s="11">
        <f>ROUND(IF(AQ193="5",BJ193,0),2)</f>
        <v>0</v>
      </c>
      <c r="AB193" s="11">
        <f>ROUND(IF(AQ193="1",BH193,0),2)</f>
        <v>0</v>
      </c>
      <c r="AC193" s="11">
        <f>ROUND(IF(AQ193="1",BI193,0),2)</f>
        <v>0</v>
      </c>
      <c r="AD193" s="11">
        <f>ROUND(IF(AQ193="7",BH193,0),2)</f>
        <v>0</v>
      </c>
      <c r="AE193" s="11">
        <f>ROUND(IF(AQ193="7",BI193,0),2)</f>
        <v>0</v>
      </c>
      <c r="AF193" s="11">
        <f>ROUND(IF(AQ193="2",BH193,0),2)</f>
        <v>0</v>
      </c>
      <c r="AG193" s="11">
        <f>ROUND(IF(AQ193="2",BI193,0),2)</f>
        <v>0</v>
      </c>
      <c r="AH193" s="11">
        <f>ROUND(IF(AQ193="0",BJ193,0),2)</f>
        <v>0</v>
      </c>
      <c r="AI193" s="6" t="s">
        <v>462</v>
      </c>
      <c r="AJ193" s="11">
        <f>IF(AN193=0,J193,0)</f>
        <v>0</v>
      </c>
      <c r="AK193" s="11">
        <f>IF(AN193=12,J193,0)</f>
        <v>0</v>
      </c>
      <c r="AL193" s="11">
        <f>IF(AN193=21,J193,0)</f>
        <v>0</v>
      </c>
      <c r="AN193" s="11">
        <v>21</v>
      </c>
      <c r="AO193" s="11">
        <f>G193*0.849568221</f>
        <v>0</v>
      </c>
      <c r="AP193" s="11">
        <f>G193*(1-0.849568221)</f>
        <v>0</v>
      </c>
      <c r="AQ193" s="12" t="s">
        <v>81</v>
      </c>
      <c r="AV193" s="11">
        <f>ROUND(AW193+AX193,2)</f>
        <v>0</v>
      </c>
      <c r="AW193" s="11">
        <f>ROUND(F193*AO193,2)</f>
        <v>0</v>
      </c>
      <c r="AX193" s="11">
        <f>ROUND(F193*AP193,2)</f>
        <v>0</v>
      </c>
      <c r="AY193" s="12" t="s">
        <v>351</v>
      </c>
      <c r="AZ193" s="12" t="s">
        <v>513</v>
      </c>
      <c r="BA193" s="6" t="s">
        <v>465</v>
      </c>
      <c r="BC193" s="11">
        <f>AW193+AX193</f>
        <v>0</v>
      </c>
      <c r="BD193" s="11">
        <f>G193/(100-BE193)*100</f>
        <v>0</v>
      </c>
      <c r="BE193" s="11">
        <v>0</v>
      </c>
      <c r="BF193" s="11">
        <f>193</f>
        <v>193</v>
      </c>
      <c r="BH193" s="11">
        <f>F193*AO193</f>
        <v>0</v>
      </c>
      <c r="BI193" s="11">
        <f>F193*AP193</f>
        <v>0</v>
      </c>
      <c r="BJ193" s="11">
        <f>F193*G193</f>
        <v>0</v>
      </c>
      <c r="BK193" s="12" t="s">
        <v>64</v>
      </c>
      <c r="BL193" s="11">
        <v>734</v>
      </c>
      <c r="BW193" s="11">
        <v>21</v>
      </c>
      <c r="BX193" s="3" t="s">
        <v>570</v>
      </c>
    </row>
    <row r="194" spans="1:76">
      <c r="A194" s="29" t="s">
        <v>571</v>
      </c>
      <c r="B194" s="2" t="s">
        <v>572</v>
      </c>
      <c r="C194" s="40" t="s">
        <v>573</v>
      </c>
      <c r="D194" s="38"/>
      <c r="E194" s="2" t="s">
        <v>60</v>
      </c>
      <c r="F194" s="11">
        <v>1</v>
      </c>
      <c r="G194" s="109">
        <v>0</v>
      </c>
      <c r="H194" s="11">
        <f>ROUND(F194*AO194,2)</f>
        <v>0</v>
      </c>
      <c r="I194" s="11">
        <f>ROUND(F194*AP194,2)</f>
        <v>0</v>
      </c>
      <c r="J194" s="11">
        <f>ROUND(F194*G194,2)</f>
        <v>0</v>
      </c>
      <c r="K194" s="108" t="s">
        <v>111</v>
      </c>
      <c r="Z194" s="11">
        <f>ROUND(IF(AQ194="5",BJ194,0),2)</f>
        <v>0</v>
      </c>
      <c r="AB194" s="11">
        <f>ROUND(IF(AQ194="1",BH194,0),2)</f>
        <v>0</v>
      </c>
      <c r="AC194" s="11">
        <f>ROUND(IF(AQ194="1",BI194,0),2)</f>
        <v>0</v>
      </c>
      <c r="AD194" s="11">
        <f>ROUND(IF(AQ194="7",BH194,0),2)</f>
        <v>0</v>
      </c>
      <c r="AE194" s="11">
        <f>ROUND(IF(AQ194="7",BI194,0),2)</f>
        <v>0</v>
      </c>
      <c r="AF194" s="11">
        <f>ROUND(IF(AQ194="2",BH194,0),2)</f>
        <v>0</v>
      </c>
      <c r="AG194" s="11">
        <f>ROUND(IF(AQ194="2",BI194,0),2)</f>
        <v>0</v>
      </c>
      <c r="AH194" s="11">
        <f>ROUND(IF(AQ194="0",BJ194,0),2)</f>
        <v>0</v>
      </c>
      <c r="AI194" s="6" t="s">
        <v>462</v>
      </c>
      <c r="AJ194" s="11">
        <f>IF(AN194=0,J194,0)</f>
        <v>0</v>
      </c>
      <c r="AK194" s="11">
        <f>IF(AN194=12,J194,0)</f>
        <v>0</v>
      </c>
      <c r="AL194" s="11">
        <f>IF(AN194=21,J194,0)</f>
        <v>0</v>
      </c>
      <c r="AN194" s="11">
        <v>21</v>
      </c>
      <c r="AO194" s="11">
        <f>G194*0.719366197</f>
        <v>0</v>
      </c>
      <c r="AP194" s="11">
        <f>G194*(1-0.719366197)</f>
        <v>0</v>
      </c>
      <c r="AQ194" s="12" t="s">
        <v>81</v>
      </c>
      <c r="AV194" s="11">
        <f>ROUND(AW194+AX194,2)</f>
        <v>0</v>
      </c>
      <c r="AW194" s="11">
        <f>ROUND(F194*AO194,2)</f>
        <v>0</v>
      </c>
      <c r="AX194" s="11">
        <f>ROUND(F194*AP194,2)</f>
        <v>0</v>
      </c>
      <c r="AY194" s="12" t="s">
        <v>351</v>
      </c>
      <c r="AZ194" s="12" t="s">
        <v>513</v>
      </c>
      <c r="BA194" s="6" t="s">
        <v>465</v>
      </c>
      <c r="BC194" s="11">
        <f>AW194+AX194</f>
        <v>0</v>
      </c>
      <c r="BD194" s="11">
        <f>G194/(100-BE194)*100</f>
        <v>0</v>
      </c>
      <c r="BE194" s="11">
        <v>0</v>
      </c>
      <c r="BF194" s="11">
        <f>194</f>
        <v>194</v>
      </c>
      <c r="BH194" s="11">
        <f>F194*AO194</f>
        <v>0</v>
      </c>
      <c r="BI194" s="11">
        <f>F194*AP194</f>
        <v>0</v>
      </c>
      <c r="BJ194" s="11">
        <f>F194*G194</f>
        <v>0</v>
      </c>
      <c r="BK194" s="12" t="s">
        <v>64</v>
      </c>
      <c r="BL194" s="11">
        <v>734</v>
      </c>
      <c r="BW194" s="11">
        <v>21</v>
      </c>
      <c r="BX194" s="3" t="s">
        <v>573</v>
      </c>
    </row>
    <row r="195" spans="1:76">
      <c r="A195" s="29" t="s">
        <v>574</v>
      </c>
      <c r="B195" s="2" t="s">
        <v>575</v>
      </c>
      <c r="C195" s="40" t="s">
        <v>576</v>
      </c>
      <c r="D195" s="38"/>
      <c r="E195" s="2" t="s">
        <v>60</v>
      </c>
      <c r="F195" s="11">
        <v>2</v>
      </c>
      <c r="G195" s="109">
        <v>0</v>
      </c>
      <c r="H195" s="11">
        <f>ROUND(F195*AO195,2)</f>
        <v>0</v>
      </c>
      <c r="I195" s="11">
        <f>ROUND(F195*AP195,2)</f>
        <v>0</v>
      </c>
      <c r="J195" s="11">
        <f>ROUND(F195*G195,2)</f>
        <v>0</v>
      </c>
      <c r="K195" s="108" t="s">
        <v>111</v>
      </c>
      <c r="Z195" s="11">
        <f>ROUND(IF(AQ195="5",BJ195,0),2)</f>
        <v>0</v>
      </c>
      <c r="AB195" s="11">
        <f>ROUND(IF(AQ195="1",BH195,0),2)</f>
        <v>0</v>
      </c>
      <c r="AC195" s="11">
        <f>ROUND(IF(AQ195="1",BI195,0),2)</f>
        <v>0</v>
      </c>
      <c r="AD195" s="11">
        <f>ROUND(IF(AQ195="7",BH195,0),2)</f>
        <v>0</v>
      </c>
      <c r="AE195" s="11">
        <f>ROUND(IF(AQ195="7",BI195,0),2)</f>
        <v>0</v>
      </c>
      <c r="AF195" s="11">
        <f>ROUND(IF(AQ195="2",BH195,0),2)</f>
        <v>0</v>
      </c>
      <c r="AG195" s="11">
        <f>ROUND(IF(AQ195="2",BI195,0),2)</f>
        <v>0</v>
      </c>
      <c r="AH195" s="11">
        <f>ROUND(IF(AQ195="0",BJ195,0),2)</f>
        <v>0</v>
      </c>
      <c r="AI195" s="6" t="s">
        <v>462</v>
      </c>
      <c r="AJ195" s="11">
        <f>IF(AN195=0,J195,0)</f>
        <v>0</v>
      </c>
      <c r="AK195" s="11">
        <f>IF(AN195=12,J195,0)</f>
        <v>0</v>
      </c>
      <c r="AL195" s="11">
        <f>IF(AN195=21,J195,0)</f>
        <v>0</v>
      </c>
      <c r="AN195" s="11">
        <v>21</v>
      </c>
      <c r="AO195" s="11">
        <f>G195*0.833263598</f>
        <v>0</v>
      </c>
      <c r="AP195" s="11">
        <f>G195*(1-0.833263598)</f>
        <v>0</v>
      </c>
      <c r="AQ195" s="12" t="s">
        <v>81</v>
      </c>
      <c r="AV195" s="11">
        <f>ROUND(AW195+AX195,2)</f>
        <v>0</v>
      </c>
      <c r="AW195" s="11">
        <f>ROUND(F195*AO195,2)</f>
        <v>0</v>
      </c>
      <c r="AX195" s="11">
        <f>ROUND(F195*AP195,2)</f>
        <v>0</v>
      </c>
      <c r="AY195" s="12" t="s">
        <v>351</v>
      </c>
      <c r="AZ195" s="12" t="s">
        <v>513</v>
      </c>
      <c r="BA195" s="6" t="s">
        <v>465</v>
      </c>
      <c r="BC195" s="11">
        <f>AW195+AX195</f>
        <v>0</v>
      </c>
      <c r="BD195" s="11">
        <f>G195/(100-BE195)*100</f>
        <v>0</v>
      </c>
      <c r="BE195" s="11">
        <v>0</v>
      </c>
      <c r="BF195" s="11">
        <f>195</f>
        <v>195</v>
      </c>
      <c r="BH195" s="11">
        <f>F195*AO195</f>
        <v>0</v>
      </c>
      <c r="BI195" s="11">
        <f>F195*AP195</f>
        <v>0</v>
      </c>
      <c r="BJ195" s="11">
        <f>F195*G195</f>
        <v>0</v>
      </c>
      <c r="BK195" s="12" t="s">
        <v>64</v>
      </c>
      <c r="BL195" s="11">
        <v>734</v>
      </c>
      <c r="BW195" s="11">
        <v>21</v>
      </c>
      <c r="BX195" s="3" t="s">
        <v>576</v>
      </c>
    </row>
    <row r="196" spans="1:76">
      <c r="A196" s="29" t="s">
        <v>577</v>
      </c>
      <c r="B196" s="2" t="s">
        <v>578</v>
      </c>
      <c r="C196" s="40" t="s">
        <v>579</v>
      </c>
      <c r="D196" s="38"/>
      <c r="E196" s="2" t="s">
        <v>60</v>
      </c>
      <c r="F196" s="11">
        <v>1</v>
      </c>
      <c r="G196" s="109">
        <v>0</v>
      </c>
      <c r="H196" s="11">
        <f>ROUND(F196*AO196,2)</f>
        <v>0</v>
      </c>
      <c r="I196" s="11">
        <f>ROUND(F196*AP196,2)</f>
        <v>0</v>
      </c>
      <c r="J196" s="11">
        <f>ROUND(F196*G196,2)</f>
        <v>0</v>
      </c>
      <c r="K196" s="108" t="s">
        <v>111</v>
      </c>
      <c r="Z196" s="11">
        <f>ROUND(IF(AQ196="5",BJ196,0),2)</f>
        <v>0</v>
      </c>
      <c r="AB196" s="11">
        <f>ROUND(IF(AQ196="1",BH196,0),2)</f>
        <v>0</v>
      </c>
      <c r="AC196" s="11">
        <f>ROUND(IF(AQ196="1",BI196,0),2)</f>
        <v>0</v>
      </c>
      <c r="AD196" s="11">
        <f>ROUND(IF(AQ196="7",BH196,0),2)</f>
        <v>0</v>
      </c>
      <c r="AE196" s="11">
        <f>ROUND(IF(AQ196="7",BI196,0),2)</f>
        <v>0</v>
      </c>
      <c r="AF196" s="11">
        <f>ROUND(IF(AQ196="2",BH196,0),2)</f>
        <v>0</v>
      </c>
      <c r="AG196" s="11">
        <f>ROUND(IF(AQ196="2",BI196,0),2)</f>
        <v>0</v>
      </c>
      <c r="AH196" s="11">
        <f>ROUND(IF(AQ196="0",BJ196,0),2)</f>
        <v>0</v>
      </c>
      <c r="AI196" s="6" t="s">
        <v>462</v>
      </c>
      <c r="AJ196" s="11">
        <f>IF(AN196=0,J196,0)</f>
        <v>0</v>
      </c>
      <c r="AK196" s="11">
        <f>IF(AN196=12,J196,0)</f>
        <v>0</v>
      </c>
      <c r="AL196" s="11">
        <f>IF(AN196=21,J196,0)</f>
        <v>0</v>
      </c>
      <c r="AN196" s="11">
        <v>21</v>
      </c>
      <c r="AO196" s="11">
        <f>G196*0.780601401</f>
        <v>0</v>
      </c>
      <c r="AP196" s="11">
        <f>G196*(1-0.780601401)</f>
        <v>0</v>
      </c>
      <c r="AQ196" s="12" t="s">
        <v>81</v>
      </c>
      <c r="AV196" s="11">
        <f>ROUND(AW196+AX196,2)</f>
        <v>0</v>
      </c>
      <c r="AW196" s="11">
        <f>ROUND(F196*AO196,2)</f>
        <v>0</v>
      </c>
      <c r="AX196" s="11">
        <f>ROUND(F196*AP196,2)</f>
        <v>0</v>
      </c>
      <c r="AY196" s="12" t="s">
        <v>351</v>
      </c>
      <c r="AZ196" s="12" t="s">
        <v>513</v>
      </c>
      <c r="BA196" s="6" t="s">
        <v>465</v>
      </c>
      <c r="BC196" s="11">
        <f>AW196+AX196</f>
        <v>0</v>
      </c>
      <c r="BD196" s="11">
        <f>G196/(100-BE196)*100</f>
        <v>0</v>
      </c>
      <c r="BE196" s="11">
        <v>0</v>
      </c>
      <c r="BF196" s="11">
        <f>196</f>
        <v>196</v>
      </c>
      <c r="BH196" s="11">
        <f>F196*AO196</f>
        <v>0</v>
      </c>
      <c r="BI196" s="11">
        <f>F196*AP196</f>
        <v>0</v>
      </c>
      <c r="BJ196" s="11">
        <f>F196*G196</f>
        <v>0</v>
      </c>
      <c r="BK196" s="12" t="s">
        <v>64</v>
      </c>
      <c r="BL196" s="11">
        <v>734</v>
      </c>
      <c r="BW196" s="11">
        <v>21</v>
      </c>
      <c r="BX196" s="3" t="s">
        <v>579</v>
      </c>
    </row>
    <row r="197" spans="1:76">
      <c r="A197" s="29" t="s">
        <v>580</v>
      </c>
      <c r="B197" s="2" t="s">
        <v>581</v>
      </c>
      <c r="C197" s="40" t="s">
        <v>582</v>
      </c>
      <c r="D197" s="38"/>
      <c r="E197" s="2" t="s">
        <v>60</v>
      </c>
      <c r="F197" s="11">
        <v>9</v>
      </c>
      <c r="G197" s="109">
        <v>0</v>
      </c>
      <c r="H197" s="11">
        <f>ROUND(F197*AO197,2)</f>
        <v>0</v>
      </c>
      <c r="I197" s="11">
        <f>ROUND(F197*AP197,2)</f>
        <v>0</v>
      </c>
      <c r="J197" s="11">
        <f>ROUND(F197*G197,2)</f>
        <v>0</v>
      </c>
      <c r="K197" s="108" t="s">
        <v>111</v>
      </c>
      <c r="Z197" s="11">
        <f>ROUND(IF(AQ197="5",BJ197,0),2)</f>
        <v>0</v>
      </c>
      <c r="AB197" s="11">
        <f>ROUND(IF(AQ197="1",BH197,0),2)</f>
        <v>0</v>
      </c>
      <c r="AC197" s="11">
        <f>ROUND(IF(AQ197="1",BI197,0),2)</f>
        <v>0</v>
      </c>
      <c r="AD197" s="11">
        <f>ROUND(IF(AQ197="7",BH197,0),2)</f>
        <v>0</v>
      </c>
      <c r="AE197" s="11">
        <f>ROUND(IF(AQ197="7",BI197,0),2)</f>
        <v>0</v>
      </c>
      <c r="AF197" s="11">
        <f>ROUND(IF(AQ197="2",BH197,0),2)</f>
        <v>0</v>
      </c>
      <c r="AG197" s="11">
        <f>ROUND(IF(AQ197="2",BI197,0),2)</f>
        <v>0</v>
      </c>
      <c r="AH197" s="11">
        <f>ROUND(IF(AQ197="0",BJ197,0),2)</f>
        <v>0</v>
      </c>
      <c r="AI197" s="6" t="s">
        <v>462</v>
      </c>
      <c r="AJ197" s="11">
        <f>IF(AN197=0,J197,0)</f>
        <v>0</v>
      </c>
      <c r="AK197" s="11">
        <f>IF(AN197=12,J197,0)</f>
        <v>0</v>
      </c>
      <c r="AL197" s="11">
        <f>IF(AN197=21,J197,0)</f>
        <v>0</v>
      </c>
      <c r="AN197" s="11">
        <v>21</v>
      </c>
      <c r="AO197" s="11">
        <f>G197*0.631487603</f>
        <v>0</v>
      </c>
      <c r="AP197" s="11">
        <f>G197*(1-0.631487603)</f>
        <v>0</v>
      </c>
      <c r="AQ197" s="12" t="s">
        <v>81</v>
      </c>
      <c r="AV197" s="11">
        <f>ROUND(AW197+AX197,2)</f>
        <v>0</v>
      </c>
      <c r="AW197" s="11">
        <f>ROUND(F197*AO197,2)</f>
        <v>0</v>
      </c>
      <c r="AX197" s="11">
        <f>ROUND(F197*AP197,2)</f>
        <v>0</v>
      </c>
      <c r="AY197" s="12" t="s">
        <v>351</v>
      </c>
      <c r="AZ197" s="12" t="s">
        <v>513</v>
      </c>
      <c r="BA197" s="6" t="s">
        <v>465</v>
      </c>
      <c r="BC197" s="11">
        <f>AW197+AX197</f>
        <v>0</v>
      </c>
      <c r="BD197" s="11">
        <f>G197/(100-BE197)*100</f>
        <v>0</v>
      </c>
      <c r="BE197" s="11">
        <v>0</v>
      </c>
      <c r="BF197" s="11">
        <f>197</f>
        <v>197</v>
      </c>
      <c r="BH197" s="11">
        <f>F197*AO197</f>
        <v>0</v>
      </c>
      <c r="BI197" s="11">
        <f>F197*AP197</f>
        <v>0</v>
      </c>
      <c r="BJ197" s="11">
        <f>F197*G197</f>
        <v>0</v>
      </c>
      <c r="BK197" s="12" t="s">
        <v>64</v>
      </c>
      <c r="BL197" s="11">
        <v>734</v>
      </c>
      <c r="BW197" s="11">
        <v>21</v>
      </c>
      <c r="BX197" s="3" t="s">
        <v>582</v>
      </c>
    </row>
    <row r="198" spans="1:76">
      <c r="A198" s="29" t="s">
        <v>583</v>
      </c>
      <c r="B198" s="2" t="s">
        <v>375</v>
      </c>
      <c r="C198" s="40" t="s">
        <v>376</v>
      </c>
      <c r="D198" s="38"/>
      <c r="E198" s="2" t="s">
        <v>60</v>
      </c>
      <c r="F198" s="11">
        <v>6</v>
      </c>
      <c r="G198" s="109">
        <v>0</v>
      </c>
      <c r="H198" s="11">
        <f>ROUND(F198*AO198,2)</f>
        <v>0</v>
      </c>
      <c r="I198" s="11">
        <f>ROUND(F198*AP198,2)</f>
        <v>0</v>
      </c>
      <c r="J198" s="11">
        <f>ROUND(F198*G198,2)</f>
        <v>0</v>
      </c>
      <c r="K198" s="108" t="s">
        <v>111</v>
      </c>
      <c r="Z198" s="11">
        <f>ROUND(IF(AQ198="5",BJ198,0),2)</f>
        <v>0</v>
      </c>
      <c r="AB198" s="11">
        <f>ROUND(IF(AQ198="1",BH198,0),2)</f>
        <v>0</v>
      </c>
      <c r="AC198" s="11">
        <f>ROUND(IF(AQ198="1",BI198,0),2)</f>
        <v>0</v>
      </c>
      <c r="AD198" s="11">
        <f>ROUND(IF(AQ198="7",BH198,0),2)</f>
        <v>0</v>
      </c>
      <c r="AE198" s="11">
        <f>ROUND(IF(AQ198="7",BI198,0),2)</f>
        <v>0</v>
      </c>
      <c r="AF198" s="11">
        <f>ROUND(IF(AQ198="2",BH198,0),2)</f>
        <v>0</v>
      </c>
      <c r="AG198" s="11">
        <f>ROUND(IF(AQ198="2",BI198,0),2)</f>
        <v>0</v>
      </c>
      <c r="AH198" s="11">
        <f>ROUND(IF(AQ198="0",BJ198,0),2)</f>
        <v>0</v>
      </c>
      <c r="AI198" s="6" t="s">
        <v>462</v>
      </c>
      <c r="AJ198" s="11">
        <f>IF(AN198=0,J198,0)</f>
        <v>0</v>
      </c>
      <c r="AK198" s="11">
        <f>IF(AN198=12,J198,0)</f>
        <v>0</v>
      </c>
      <c r="AL198" s="11">
        <f>IF(AN198=21,J198,0)</f>
        <v>0</v>
      </c>
      <c r="AN198" s="11">
        <v>21</v>
      </c>
      <c r="AO198" s="11">
        <f>G198*0.888825919</f>
        <v>0</v>
      </c>
      <c r="AP198" s="11">
        <f>G198*(1-0.888825919)</f>
        <v>0</v>
      </c>
      <c r="AQ198" s="12" t="s">
        <v>81</v>
      </c>
      <c r="AV198" s="11">
        <f>ROUND(AW198+AX198,2)</f>
        <v>0</v>
      </c>
      <c r="AW198" s="11">
        <f>ROUND(F198*AO198,2)</f>
        <v>0</v>
      </c>
      <c r="AX198" s="11">
        <f>ROUND(F198*AP198,2)</f>
        <v>0</v>
      </c>
      <c r="AY198" s="12" t="s">
        <v>351</v>
      </c>
      <c r="AZ198" s="12" t="s">
        <v>513</v>
      </c>
      <c r="BA198" s="6" t="s">
        <v>465</v>
      </c>
      <c r="BC198" s="11">
        <f>AW198+AX198</f>
        <v>0</v>
      </c>
      <c r="BD198" s="11">
        <f>G198/(100-BE198)*100</f>
        <v>0</v>
      </c>
      <c r="BE198" s="11">
        <v>0</v>
      </c>
      <c r="BF198" s="11">
        <f>198</f>
        <v>198</v>
      </c>
      <c r="BH198" s="11">
        <f>F198*AO198</f>
        <v>0</v>
      </c>
      <c r="BI198" s="11">
        <f>F198*AP198</f>
        <v>0</v>
      </c>
      <c r="BJ198" s="11">
        <f>F198*G198</f>
        <v>0</v>
      </c>
      <c r="BK198" s="12" t="s">
        <v>64</v>
      </c>
      <c r="BL198" s="11">
        <v>734</v>
      </c>
      <c r="BW198" s="11">
        <v>21</v>
      </c>
      <c r="BX198" s="3" t="s">
        <v>376</v>
      </c>
    </row>
    <row r="199" spans="1:76">
      <c r="A199" s="29" t="s">
        <v>584</v>
      </c>
      <c r="B199" s="2" t="s">
        <v>585</v>
      </c>
      <c r="C199" s="40" t="s">
        <v>586</v>
      </c>
      <c r="D199" s="38"/>
      <c r="E199" s="2" t="s">
        <v>60</v>
      </c>
      <c r="F199" s="11">
        <v>1</v>
      </c>
      <c r="G199" s="109">
        <v>0</v>
      </c>
      <c r="H199" s="11">
        <f>ROUND(F199*AO199,2)</f>
        <v>0</v>
      </c>
      <c r="I199" s="11">
        <f>ROUND(F199*AP199,2)</f>
        <v>0</v>
      </c>
      <c r="J199" s="11">
        <f>ROUND(F199*G199,2)</f>
        <v>0</v>
      </c>
      <c r="K199" s="108" t="s">
        <v>111</v>
      </c>
      <c r="Z199" s="11">
        <f>ROUND(IF(AQ199="5",BJ199,0),2)</f>
        <v>0</v>
      </c>
      <c r="AB199" s="11">
        <f>ROUND(IF(AQ199="1",BH199,0),2)</f>
        <v>0</v>
      </c>
      <c r="AC199" s="11">
        <f>ROUND(IF(AQ199="1",BI199,0),2)</f>
        <v>0</v>
      </c>
      <c r="AD199" s="11">
        <f>ROUND(IF(AQ199="7",BH199,0),2)</f>
        <v>0</v>
      </c>
      <c r="AE199" s="11">
        <f>ROUND(IF(AQ199="7",BI199,0),2)</f>
        <v>0</v>
      </c>
      <c r="AF199" s="11">
        <f>ROUND(IF(AQ199="2",BH199,0),2)</f>
        <v>0</v>
      </c>
      <c r="AG199" s="11">
        <f>ROUND(IF(AQ199="2",BI199,0),2)</f>
        <v>0</v>
      </c>
      <c r="AH199" s="11">
        <f>ROUND(IF(AQ199="0",BJ199,0),2)</f>
        <v>0</v>
      </c>
      <c r="AI199" s="6" t="s">
        <v>462</v>
      </c>
      <c r="AJ199" s="11">
        <f>IF(AN199=0,J199,0)</f>
        <v>0</v>
      </c>
      <c r="AK199" s="11">
        <f>IF(AN199=12,J199,0)</f>
        <v>0</v>
      </c>
      <c r="AL199" s="11">
        <f>IF(AN199=21,J199,0)</f>
        <v>0</v>
      </c>
      <c r="AN199" s="11">
        <v>21</v>
      </c>
      <c r="AO199" s="11">
        <f>G199*0.657203791</f>
        <v>0</v>
      </c>
      <c r="AP199" s="11">
        <f>G199*(1-0.657203791)</f>
        <v>0</v>
      </c>
      <c r="AQ199" s="12" t="s">
        <v>81</v>
      </c>
      <c r="AV199" s="11">
        <f>ROUND(AW199+AX199,2)</f>
        <v>0</v>
      </c>
      <c r="AW199" s="11">
        <f>ROUND(F199*AO199,2)</f>
        <v>0</v>
      </c>
      <c r="AX199" s="11">
        <f>ROUND(F199*AP199,2)</f>
        <v>0</v>
      </c>
      <c r="AY199" s="12" t="s">
        <v>351</v>
      </c>
      <c r="AZ199" s="12" t="s">
        <v>513</v>
      </c>
      <c r="BA199" s="6" t="s">
        <v>465</v>
      </c>
      <c r="BC199" s="11">
        <f>AW199+AX199</f>
        <v>0</v>
      </c>
      <c r="BD199" s="11">
        <f>G199/(100-BE199)*100</f>
        <v>0</v>
      </c>
      <c r="BE199" s="11">
        <v>0</v>
      </c>
      <c r="BF199" s="11">
        <f>199</f>
        <v>199</v>
      </c>
      <c r="BH199" s="11">
        <f>F199*AO199</f>
        <v>0</v>
      </c>
      <c r="BI199" s="11">
        <f>F199*AP199</f>
        <v>0</v>
      </c>
      <c r="BJ199" s="11">
        <f>F199*G199</f>
        <v>0</v>
      </c>
      <c r="BK199" s="12" t="s">
        <v>64</v>
      </c>
      <c r="BL199" s="11">
        <v>734</v>
      </c>
      <c r="BW199" s="11">
        <v>21</v>
      </c>
      <c r="BX199" s="3" t="s">
        <v>586</v>
      </c>
    </row>
    <row r="200" spans="1:76">
      <c r="A200" s="29" t="s">
        <v>587</v>
      </c>
      <c r="B200" s="2" t="s">
        <v>362</v>
      </c>
      <c r="C200" s="40" t="s">
        <v>588</v>
      </c>
      <c r="D200" s="38"/>
      <c r="E200" s="2" t="s">
        <v>60</v>
      </c>
      <c r="F200" s="11">
        <v>1</v>
      </c>
      <c r="G200" s="109">
        <v>0</v>
      </c>
      <c r="H200" s="11">
        <f>ROUND(F200*AO200,2)</f>
        <v>0</v>
      </c>
      <c r="I200" s="11">
        <f>ROUND(F200*AP200,2)</f>
        <v>0</v>
      </c>
      <c r="J200" s="11">
        <f>ROUND(F200*G200,2)</f>
        <v>0</v>
      </c>
      <c r="K200" s="108" t="s">
        <v>111</v>
      </c>
      <c r="Z200" s="11">
        <f>ROUND(IF(AQ200="5",BJ200,0),2)</f>
        <v>0</v>
      </c>
      <c r="AB200" s="11">
        <f>ROUND(IF(AQ200="1",BH200,0),2)</f>
        <v>0</v>
      </c>
      <c r="AC200" s="11">
        <f>ROUND(IF(AQ200="1",BI200,0),2)</f>
        <v>0</v>
      </c>
      <c r="AD200" s="11">
        <f>ROUND(IF(AQ200="7",BH200,0),2)</f>
        <v>0</v>
      </c>
      <c r="AE200" s="11">
        <f>ROUND(IF(AQ200="7",BI200,0),2)</f>
        <v>0</v>
      </c>
      <c r="AF200" s="11">
        <f>ROUND(IF(AQ200="2",BH200,0),2)</f>
        <v>0</v>
      </c>
      <c r="AG200" s="11">
        <f>ROUND(IF(AQ200="2",BI200,0),2)</f>
        <v>0</v>
      </c>
      <c r="AH200" s="11">
        <f>ROUND(IF(AQ200="0",BJ200,0),2)</f>
        <v>0</v>
      </c>
      <c r="AI200" s="6" t="s">
        <v>462</v>
      </c>
      <c r="AJ200" s="11">
        <f>IF(AN200=0,J200,0)</f>
        <v>0</v>
      </c>
      <c r="AK200" s="11">
        <f>IF(AN200=12,J200,0)</f>
        <v>0</v>
      </c>
      <c r="AL200" s="11">
        <f>IF(AN200=21,J200,0)</f>
        <v>0</v>
      </c>
      <c r="AN200" s="11">
        <v>21</v>
      </c>
      <c r="AO200" s="11">
        <f>G200*0.649733656</f>
        <v>0</v>
      </c>
      <c r="AP200" s="11">
        <f>G200*(1-0.649733656)</f>
        <v>0</v>
      </c>
      <c r="AQ200" s="12" t="s">
        <v>81</v>
      </c>
      <c r="AV200" s="11">
        <f>ROUND(AW200+AX200,2)</f>
        <v>0</v>
      </c>
      <c r="AW200" s="11">
        <f>ROUND(F200*AO200,2)</f>
        <v>0</v>
      </c>
      <c r="AX200" s="11">
        <f>ROUND(F200*AP200,2)</f>
        <v>0</v>
      </c>
      <c r="AY200" s="12" t="s">
        <v>351</v>
      </c>
      <c r="AZ200" s="12" t="s">
        <v>513</v>
      </c>
      <c r="BA200" s="6" t="s">
        <v>465</v>
      </c>
      <c r="BC200" s="11">
        <f>AW200+AX200</f>
        <v>0</v>
      </c>
      <c r="BD200" s="11">
        <f>G200/(100-BE200)*100</f>
        <v>0</v>
      </c>
      <c r="BE200" s="11">
        <v>0</v>
      </c>
      <c r="BF200" s="11">
        <f>200</f>
        <v>200</v>
      </c>
      <c r="BH200" s="11">
        <f>F200*AO200</f>
        <v>0</v>
      </c>
      <c r="BI200" s="11">
        <f>F200*AP200</f>
        <v>0</v>
      </c>
      <c r="BJ200" s="11">
        <f>F200*G200</f>
        <v>0</v>
      </c>
      <c r="BK200" s="12" t="s">
        <v>64</v>
      </c>
      <c r="BL200" s="11">
        <v>734</v>
      </c>
      <c r="BW200" s="11">
        <v>21</v>
      </c>
      <c r="BX200" s="3" t="s">
        <v>588</v>
      </c>
    </row>
    <row r="201" spans="1:76">
      <c r="A201" s="29" t="s">
        <v>589</v>
      </c>
      <c r="B201" s="2" t="s">
        <v>356</v>
      </c>
      <c r="C201" s="40" t="s">
        <v>357</v>
      </c>
      <c r="D201" s="38"/>
      <c r="E201" s="2" t="s">
        <v>60</v>
      </c>
      <c r="F201" s="11">
        <v>20</v>
      </c>
      <c r="G201" s="109">
        <v>0</v>
      </c>
      <c r="H201" s="11">
        <f>ROUND(F201*AO201,2)</f>
        <v>0</v>
      </c>
      <c r="I201" s="11">
        <f>ROUND(F201*AP201,2)</f>
        <v>0</v>
      </c>
      <c r="J201" s="11">
        <f>ROUND(F201*G201,2)</f>
        <v>0</v>
      </c>
      <c r="K201" s="108" t="s">
        <v>111</v>
      </c>
      <c r="Z201" s="11">
        <f>ROUND(IF(AQ201="5",BJ201,0),2)</f>
        <v>0</v>
      </c>
      <c r="AB201" s="11">
        <f>ROUND(IF(AQ201="1",BH201,0),2)</f>
        <v>0</v>
      </c>
      <c r="AC201" s="11">
        <f>ROUND(IF(AQ201="1",BI201,0),2)</f>
        <v>0</v>
      </c>
      <c r="AD201" s="11">
        <f>ROUND(IF(AQ201="7",BH201,0),2)</f>
        <v>0</v>
      </c>
      <c r="AE201" s="11">
        <f>ROUND(IF(AQ201="7",BI201,0),2)</f>
        <v>0</v>
      </c>
      <c r="AF201" s="11">
        <f>ROUND(IF(AQ201="2",BH201,0),2)</f>
        <v>0</v>
      </c>
      <c r="AG201" s="11">
        <f>ROUND(IF(AQ201="2",BI201,0),2)</f>
        <v>0</v>
      </c>
      <c r="AH201" s="11">
        <f>ROUND(IF(AQ201="0",BJ201,0),2)</f>
        <v>0</v>
      </c>
      <c r="AI201" s="6" t="s">
        <v>462</v>
      </c>
      <c r="AJ201" s="11">
        <f>IF(AN201=0,J201,0)</f>
        <v>0</v>
      </c>
      <c r="AK201" s="11">
        <f>IF(AN201=12,J201,0)</f>
        <v>0</v>
      </c>
      <c r="AL201" s="11">
        <f>IF(AN201=21,J201,0)</f>
        <v>0</v>
      </c>
      <c r="AN201" s="11">
        <v>21</v>
      </c>
      <c r="AO201" s="11">
        <f>G201*0.232376396</f>
        <v>0</v>
      </c>
      <c r="AP201" s="11">
        <f>G201*(1-0.232376396)</f>
        <v>0</v>
      </c>
      <c r="AQ201" s="12" t="s">
        <v>81</v>
      </c>
      <c r="AV201" s="11">
        <f>ROUND(AW201+AX201,2)</f>
        <v>0</v>
      </c>
      <c r="AW201" s="11">
        <f>ROUND(F201*AO201,2)</f>
        <v>0</v>
      </c>
      <c r="AX201" s="11">
        <f>ROUND(F201*AP201,2)</f>
        <v>0</v>
      </c>
      <c r="AY201" s="12" t="s">
        <v>351</v>
      </c>
      <c r="AZ201" s="12" t="s">
        <v>513</v>
      </c>
      <c r="BA201" s="6" t="s">
        <v>465</v>
      </c>
      <c r="BC201" s="11">
        <f>AW201+AX201</f>
        <v>0</v>
      </c>
      <c r="BD201" s="11">
        <f>G201/(100-BE201)*100</f>
        <v>0</v>
      </c>
      <c r="BE201" s="11">
        <v>0</v>
      </c>
      <c r="BF201" s="11">
        <f>201</f>
        <v>201</v>
      </c>
      <c r="BH201" s="11">
        <f>F201*AO201</f>
        <v>0</v>
      </c>
      <c r="BI201" s="11">
        <f>F201*AP201</f>
        <v>0</v>
      </c>
      <c r="BJ201" s="11">
        <f>F201*G201</f>
        <v>0</v>
      </c>
      <c r="BK201" s="12" t="s">
        <v>64</v>
      </c>
      <c r="BL201" s="11">
        <v>734</v>
      </c>
      <c r="BW201" s="11">
        <v>21</v>
      </c>
      <c r="BX201" s="3" t="s">
        <v>357</v>
      </c>
    </row>
    <row r="202" spans="1:76">
      <c r="A202" s="29" t="s">
        <v>590</v>
      </c>
      <c r="B202" s="2" t="s">
        <v>591</v>
      </c>
      <c r="C202" s="40" t="s">
        <v>592</v>
      </c>
      <c r="D202" s="38"/>
      <c r="E202" s="2" t="s">
        <v>60</v>
      </c>
      <c r="F202" s="11">
        <v>6</v>
      </c>
      <c r="G202" s="109">
        <v>0</v>
      </c>
      <c r="H202" s="11">
        <f>ROUND(F202*AO202,2)</f>
        <v>0</v>
      </c>
      <c r="I202" s="11">
        <f>ROUND(F202*AP202,2)</f>
        <v>0</v>
      </c>
      <c r="J202" s="11">
        <f>ROUND(F202*G202,2)</f>
        <v>0</v>
      </c>
      <c r="K202" s="108" t="s">
        <v>111</v>
      </c>
      <c r="Z202" s="11">
        <f>ROUND(IF(AQ202="5",BJ202,0),2)</f>
        <v>0</v>
      </c>
      <c r="AB202" s="11">
        <f>ROUND(IF(AQ202="1",BH202,0),2)</f>
        <v>0</v>
      </c>
      <c r="AC202" s="11">
        <f>ROUND(IF(AQ202="1",BI202,0),2)</f>
        <v>0</v>
      </c>
      <c r="AD202" s="11">
        <f>ROUND(IF(AQ202="7",BH202,0),2)</f>
        <v>0</v>
      </c>
      <c r="AE202" s="11">
        <f>ROUND(IF(AQ202="7",BI202,0),2)</f>
        <v>0</v>
      </c>
      <c r="AF202" s="11">
        <f>ROUND(IF(AQ202="2",BH202,0),2)</f>
        <v>0</v>
      </c>
      <c r="AG202" s="11">
        <f>ROUND(IF(AQ202="2",BI202,0),2)</f>
        <v>0</v>
      </c>
      <c r="AH202" s="11">
        <f>ROUND(IF(AQ202="0",BJ202,0),2)</f>
        <v>0</v>
      </c>
      <c r="AI202" s="6" t="s">
        <v>462</v>
      </c>
      <c r="AJ202" s="11">
        <f>IF(AN202=0,J202,0)</f>
        <v>0</v>
      </c>
      <c r="AK202" s="11">
        <f>IF(AN202=12,J202,0)</f>
        <v>0</v>
      </c>
      <c r="AL202" s="11">
        <f>IF(AN202=21,J202,0)</f>
        <v>0</v>
      </c>
      <c r="AN202" s="11">
        <v>21</v>
      </c>
      <c r="AO202" s="11">
        <f>G202*0.724397163</f>
        <v>0</v>
      </c>
      <c r="AP202" s="11">
        <f>G202*(1-0.724397163)</f>
        <v>0</v>
      </c>
      <c r="AQ202" s="12" t="s">
        <v>81</v>
      </c>
      <c r="AV202" s="11">
        <f>ROUND(AW202+AX202,2)</f>
        <v>0</v>
      </c>
      <c r="AW202" s="11">
        <f>ROUND(F202*AO202,2)</f>
        <v>0</v>
      </c>
      <c r="AX202" s="11">
        <f>ROUND(F202*AP202,2)</f>
        <v>0</v>
      </c>
      <c r="AY202" s="12" t="s">
        <v>351</v>
      </c>
      <c r="AZ202" s="12" t="s">
        <v>513</v>
      </c>
      <c r="BA202" s="6" t="s">
        <v>465</v>
      </c>
      <c r="BC202" s="11">
        <f>AW202+AX202</f>
        <v>0</v>
      </c>
      <c r="BD202" s="11">
        <f>G202/(100-BE202)*100</f>
        <v>0</v>
      </c>
      <c r="BE202" s="11">
        <v>0</v>
      </c>
      <c r="BF202" s="11">
        <f>202</f>
        <v>202</v>
      </c>
      <c r="BH202" s="11">
        <f>F202*AO202</f>
        <v>0</v>
      </c>
      <c r="BI202" s="11">
        <f>F202*AP202</f>
        <v>0</v>
      </c>
      <c r="BJ202" s="11">
        <f>F202*G202</f>
        <v>0</v>
      </c>
      <c r="BK202" s="12" t="s">
        <v>64</v>
      </c>
      <c r="BL202" s="11">
        <v>734</v>
      </c>
      <c r="BW202" s="11">
        <v>21</v>
      </c>
      <c r="BX202" s="3" t="s">
        <v>592</v>
      </c>
    </row>
    <row r="203" spans="1:76">
      <c r="A203" s="29" t="s">
        <v>593</v>
      </c>
      <c r="B203" s="2" t="s">
        <v>594</v>
      </c>
      <c r="C203" s="40" t="s">
        <v>595</v>
      </c>
      <c r="D203" s="38"/>
      <c r="E203" s="2" t="s">
        <v>60</v>
      </c>
      <c r="F203" s="11">
        <v>4</v>
      </c>
      <c r="G203" s="109">
        <v>0</v>
      </c>
      <c r="H203" s="11">
        <f>ROUND(F203*AO203,2)</f>
        <v>0</v>
      </c>
      <c r="I203" s="11">
        <f>ROUND(F203*AP203,2)</f>
        <v>0</v>
      </c>
      <c r="J203" s="11">
        <f>ROUND(F203*G203,2)</f>
        <v>0</v>
      </c>
      <c r="K203" s="108" t="s">
        <v>111</v>
      </c>
      <c r="Z203" s="11">
        <f>ROUND(IF(AQ203="5",BJ203,0),2)</f>
        <v>0</v>
      </c>
      <c r="AB203" s="11">
        <f>ROUND(IF(AQ203="1",BH203,0),2)</f>
        <v>0</v>
      </c>
      <c r="AC203" s="11">
        <f>ROUND(IF(AQ203="1",BI203,0),2)</f>
        <v>0</v>
      </c>
      <c r="AD203" s="11">
        <f>ROUND(IF(AQ203="7",BH203,0),2)</f>
        <v>0</v>
      </c>
      <c r="AE203" s="11">
        <f>ROUND(IF(AQ203="7",BI203,0),2)</f>
        <v>0</v>
      </c>
      <c r="AF203" s="11">
        <f>ROUND(IF(AQ203="2",BH203,0),2)</f>
        <v>0</v>
      </c>
      <c r="AG203" s="11">
        <f>ROUND(IF(AQ203="2",BI203,0),2)</f>
        <v>0</v>
      </c>
      <c r="AH203" s="11">
        <f>ROUND(IF(AQ203="0",BJ203,0),2)</f>
        <v>0</v>
      </c>
      <c r="AI203" s="6" t="s">
        <v>462</v>
      </c>
      <c r="AJ203" s="11">
        <f>IF(AN203=0,J203,0)</f>
        <v>0</v>
      </c>
      <c r="AK203" s="11">
        <f>IF(AN203=12,J203,0)</f>
        <v>0</v>
      </c>
      <c r="AL203" s="11">
        <f>IF(AN203=21,J203,0)</f>
        <v>0</v>
      </c>
      <c r="AN203" s="11">
        <v>21</v>
      </c>
      <c r="AO203" s="11">
        <f>G203*0</f>
        <v>0</v>
      </c>
      <c r="AP203" s="11">
        <f>G203*(1-0)</f>
        <v>0</v>
      </c>
      <c r="AQ203" s="12" t="s">
        <v>81</v>
      </c>
      <c r="AV203" s="11">
        <f>ROUND(AW203+AX203,2)</f>
        <v>0</v>
      </c>
      <c r="AW203" s="11">
        <f>ROUND(F203*AO203,2)</f>
        <v>0</v>
      </c>
      <c r="AX203" s="11">
        <f>ROUND(F203*AP203,2)</f>
        <v>0</v>
      </c>
      <c r="AY203" s="12" t="s">
        <v>351</v>
      </c>
      <c r="AZ203" s="12" t="s">
        <v>513</v>
      </c>
      <c r="BA203" s="6" t="s">
        <v>465</v>
      </c>
      <c r="BC203" s="11">
        <f>AW203+AX203</f>
        <v>0</v>
      </c>
      <c r="BD203" s="11">
        <f>G203/(100-BE203)*100</f>
        <v>0</v>
      </c>
      <c r="BE203" s="11">
        <v>0</v>
      </c>
      <c r="BF203" s="11">
        <f>203</f>
        <v>203</v>
      </c>
      <c r="BH203" s="11">
        <f>F203*AO203</f>
        <v>0</v>
      </c>
      <c r="BI203" s="11">
        <f>F203*AP203</f>
        <v>0</v>
      </c>
      <c r="BJ203" s="11">
        <f>F203*G203</f>
        <v>0</v>
      </c>
      <c r="BK203" s="12" t="s">
        <v>64</v>
      </c>
      <c r="BL203" s="11">
        <v>734</v>
      </c>
      <c r="BW203" s="11">
        <v>21</v>
      </c>
      <c r="BX203" s="3" t="s">
        <v>595</v>
      </c>
    </row>
    <row r="204" spans="1:76">
      <c r="A204" s="29" t="s">
        <v>596</v>
      </c>
      <c r="B204" s="2" t="s">
        <v>597</v>
      </c>
      <c r="C204" s="40" t="s">
        <v>598</v>
      </c>
      <c r="D204" s="38"/>
      <c r="E204" s="2" t="s">
        <v>60</v>
      </c>
      <c r="F204" s="11">
        <v>6</v>
      </c>
      <c r="G204" s="109">
        <v>0</v>
      </c>
      <c r="H204" s="11">
        <f>ROUND(F204*AO204,2)</f>
        <v>0</v>
      </c>
      <c r="I204" s="11">
        <f>ROUND(F204*AP204,2)</f>
        <v>0</v>
      </c>
      <c r="J204" s="11">
        <f>ROUND(F204*G204,2)</f>
        <v>0</v>
      </c>
      <c r="K204" s="108" t="s">
        <v>111</v>
      </c>
      <c r="Z204" s="11">
        <f>ROUND(IF(AQ204="5",BJ204,0),2)</f>
        <v>0</v>
      </c>
      <c r="AB204" s="11">
        <f>ROUND(IF(AQ204="1",BH204,0),2)</f>
        <v>0</v>
      </c>
      <c r="AC204" s="11">
        <f>ROUND(IF(AQ204="1",BI204,0),2)</f>
        <v>0</v>
      </c>
      <c r="AD204" s="11">
        <f>ROUND(IF(AQ204="7",BH204,0),2)</f>
        <v>0</v>
      </c>
      <c r="AE204" s="11">
        <f>ROUND(IF(AQ204="7",BI204,0),2)</f>
        <v>0</v>
      </c>
      <c r="AF204" s="11">
        <f>ROUND(IF(AQ204="2",BH204,0),2)</f>
        <v>0</v>
      </c>
      <c r="AG204" s="11">
        <f>ROUND(IF(AQ204="2",BI204,0),2)</f>
        <v>0</v>
      </c>
      <c r="AH204" s="11">
        <f>ROUND(IF(AQ204="0",BJ204,0),2)</f>
        <v>0</v>
      </c>
      <c r="AI204" s="6" t="s">
        <v>462</v>
      </c>
      <c r="AJ204" s="11">
        <f>IF(AN204=0,J204,0)</f>
        <v>0</v>
      </c>
      <c r="AK204" s="11">
        <f>IF(AN204=12,J204,0)</f>
        <v>0</v>
      </c>
      <c r="AL204" s="11">
        <f>IF(AN204=21,J204,0)</f>
        <v>0</v>
      </c>
      <c r="AN204" s="11">
        <v>21</v>
      </c>
      <c r="AO204" s="11">
        <f>G204*0.049084534</f>
        <v>0</v>
      </c>
      <c r="AP204" s="11">
        <f>G204*(1-0.049084534)</f>
        <v>0</v>
      </c>
      <c r="AQ204" s="12" t="s">
        <v>81</v>
      </c>
      <c r="AV204" s="11">
        <f>ROUND(AW204+AX204,2)</f>
        <v>0</v>
      </c>
      <c r="AW204" s="11">
        <f>ROUND(F204*AO204,2)</f>
        <v>0</v>
      </c>
      <c r="AX204" s="11">
        <f>ROUND(F204*AP204,2)</f>
        <v>0</v>
      </c>
      <c r="AY204" s="12" t="s">
        <v>351</v>
      </c>
      <c r="AZ204" s="12" t="s">
        <v>513</v>
      </c>
      <c r="BA204" s="6" t="s">
        <v>465</v>
      </c>
      <c r="BC204" s="11">
        <f>AW204+AX204</f>
        <v>0</v>
      </c>
      <c r="BD204" s="11">
        <f>G204/(100-BE204)*100</f>
        <v>0</v>
      </c>
      <c r="BE204" s="11">
        <v>0</v>
      </c>
      <c r="BF204" s="11">
        <f>204</f>
        <v>204</v>
      </c>
      <c r="BH204" s="11">
        <f>F204*AO204</f>
        <v>0</v>
      </c>
      <c r="BI204" s="11">
        <f>F204*AP204</f>
        <v>0</v>
      </c>
      <c r="BJ204" s="11">
        <f>F204*G204</f>
        <v>0</v>
      </c>
      <c r="BK204" s="12" t="s">
        <v>64</v>
      </c>
      <c r="BL204" s="11">
        <v>734</v>
      </c>
      <c r="BW204" s="11">
        <v>21</v>
      </c>
      <c r="BX204" s="3" t="s">
        <v>598</v>
      </c>
    </row>
    <row r="205" spans="1:76">
      <c r="A205" s="29" t="s">
        <v>599</v>
      </c>
      <c r="B205" s="2" t="s">
        <v>600</v>
      </c>
      <c r="C205" s="40" t="s">
        <v>601</v>
      </c>
      <c r="D205" s="38"/>
      <c r="E205" s="2" t="s">
        <v>60</v>
      </c>
      <c r="F205" s="11">
        <v>6</v>
      </c>
      <c r="G205" s="109">
        <v>0</v>
      </c>
      <c r="H205" s="11">
        <f>ROUND(F205*AO205,2)</f>
        <v>0</v>
      </c>
      <c r="I205" s="11">
        <f>ROUND(F205*AP205,2)</f>
        <v>0</v>
      </c>
      <c r="J205" s="11">
        <f>ROUND(F205*G205,2)</f>
        <v>0</v>
      </c>
      <c r="K205" s="108" t="s">
        <v>111</v>
      </c>
      <c r="Z205" s="11">
        <f>ROUND(IF(AQ205="5",BJ205,0),2)</f>
        <v>0</v>
      </c>
      <c r="AB205" s="11">
        <f>ROUND(IF(AQ205="1",BH205,0),2)</f>
        <v>0</v>
      </c>
      <c r="AC205" s="11">
        <f>ROUND(IF(AQ205="1",BI205,0),2)</f>
        <v>0</v>
      </c>
      <c r="AD205" s="11">
        <f>ROUND(IF(AQ205="7",BH205,0),2)</f>
        <v>0</v>
      </c>
      <c r="AE205" s="11">
        <f>ROUND(IF(AQ205="7",BI205,0),2)</f>
        <v>0</v>
      </c>
      <c r="AF205" s="11">
        <f>ROUND(IF(AQ205="2",BH205,0),2)</f>
        <v>0</v>
      </c>
      <c r="AG205" s="11">
        <f>ROUND(IF(AQ205="2",BI205,0),2)</f>
        <v>0</v>
      </c>
      <c r="AH205" s="11">
        <f>ROUND(IF(AQ205="0",BJ205,0),2)</f>
        <v>0</v>
      </c>
      <c r="AI205" s="6" t="s">
        <v>462</v>
      </c>
      <c r="AJ205" s="11">
        <f>IF(AN205=0,J205,0)</f>
        <v>0</v>
      </c>
      <c r="AK205" s="11">
        <f>IF(AN205=12,J205,0)</f>
        <v>0</v>
      </c>
      <c r="AL205" s="11">
        <f>IF(AN205=21,J205,0)</f>
        <v>0</v>
      </c>
      <c r="AN205" s="11">
        <v>21</v>
      </c>
      <c r="AO205" s="11">
        <f>G205*0.311292872</f>
        <v>0</v>
      </c>
      <c r="AP205" s="11">
        <f>G205*(1-0.311292872)</f>
        <v>0</v>
      </c>
      <c r="AQ205" s="12" t="s">
        <v>81</v>
      </c>
      <c r="AV205" s="11">
        <f>ROUND(AW205+AX205,2)</f>
        <v>0</v>
      </c>
      <c r="AW205" s="11">
        <f>ROUND(F205*AO205,2)</f>
        <v>0</v>
      </c>
      <c r="AX205" s="11">
        <f>ROUND(F205*AP205,2)</f>
        <v>0</v>
      </c>
      <c r="AY205" s="12" t="s">
        <v>351</v>
      </c>
      <c r="AZ205" s="12" t="s">
        <v>513</v>
      </c>
      <c r="BA205" s="6" t="s">
        <v>465</v>
      </c>
      <c r="BC205" s="11">
        <f>AW205+AX205</f>
        <v>0</v>
      </c>
      <c r="BD205" s="11">
        <f>G205/(100-BE205)*100</f>
        <v>0</v>
      </c>
      <c r="BE205" s="11">
        <v>0</v>
      </c>
      <c r="BF205" s="11">
        <f>205</f>
        <v>205</v>
      </c>
      <c r="BH205" s="11">
        <f>F205*AO205</f>
        <v>0</v>
      </c>
      <c r="BI205" s="11">
        <f>F205*AP205</f>
        <v>0</v>
      </c>
      <c r="BJ205" s="11">
        <f>F205*G205</f>
        <v>0</v>
      </c>
      <c r="BK205" s="12" t="s">
        <v>64</v>
      </c>
      <c r="BL205" s="11">
        <v>734</v>
      </c>
      <c r="BW205" s="11">
        <v>21</v>
      </c>
      <c r="BX205" s="3" t="s">
        <v>601</v>
      </c>
    </row>
    <row r="206" spans="1:76">
      <c r="A206" s="29" t="s">
        <v>602</v>
      </c>
      <c r="B206" s="2" t="s">
        <v>603</v>
      </c>
      <c r="C206" s="40" t="s">
        <v>604</v>
      </c>
      <c r="D206" s="38"/>
      <c r="E206" s="2" t="s">
        <v>60</v>
      </c>
      <c r="F206" s="11">
        <v>4</v>
      </c>
      <c r="G206" s="109">
        <v>0</v>
      </c>
      <c r="H206" s="11">
        <f>ROUND(F206*AO206,2)</f>
        <v>0</v>
      </c>
      <c r="I206" s="11">
        <f>ROUND(F206*AP206,2)</f>
        <v>0</v>
      </c>
      <c r="J206" s="11">
        <f>ROUND(F206*G206,2)</f>
        <v>0</v>
      </c>
      <c r="K206" s="108" t="s">
        <v>111</v>
      </c>
      <c r="Z206" s="11">
        <f>ROUND(IF(AQ206="5",BJ206,0),2)</f>
        <v>0</v>
      </c>
      <c r="AB206" s="11">
        <f>ROUND(IF(AQ206="1",BH206,0),2)</f>
        <v>0</v>
      </c>
      <c r="AC206" s="11">
        <f>ROUND(IF(AQ206="1",BI206,0),2)</f>
        <v>0</v>
      </c>
      <c r="AD206" s="11">
        <f>ROUND(IF(AQ206="7",BH206,0),2)</f>
        <v>0</v>
      </c>
      <c r="AE206" s="11">
        <f>ROUND(IF(AQ206="7",BI206,0),2)</f>
        <v>0</v>
      </c>
      <c r="AF206" s="11">
        <f>ROUND(IF(AQ206="2",BH206,0),2)</f>
        <v>0</v>
      </c>
      <c r="AG206" s="11">
        <f>ROUND(IF(AQ206="2",BI206,0),2)</f>
        <v>0</v>
      </c>
      <c r="AH206" s="11">
        <f>ROUND(IF(AQ206="0",BJ206,0),2)</f>
        <v>0</v>
      </c>
      <c r="AI206" s="6" t="s">
        <v>462</v>
      </c>
      <c r="AJ206" s="11">
        <f>IF(AN206=0,J206,0)</f>
        <v>0</v>
      </c>
      <c r="AK206" s="11">
        <f>IF(AN206=12,J206,0)</f>
        <v>0</v>
      </c>
      <c r="AL206" s="11">
        <f>IF(AN206=21,J206,0)</f>
        <v>0</v>
      </c>
      <c r="AN206" s="11">
        <v>21</v>
      </c>
      <c r="AO206" s="11">
        <f>G206*0.020257511</f>
        <v>0</v>
      </c>
      <c r="AP206" s="11">
        <f>G206*(1-0.020257511)</f>
        <v>0</v>
      </c>
      <c r="AQ206" s="12" t="s">
        <v>81</v>
      </c>
      <c r="AV206" s="11">
        <f>ROUND(AW206+AX206,2)</f>
        <v>0</v>
      </c>
      <c r="AW206" s="11">
        <f>ROUND(F206*AO206,2)</f>
        <v>0</v>
      </c>
      <c r="AX206" s="11">
        <f>ROUND(F206*AP206,2)</f>
        <v>0</v>
      </c>
      <c r="AY206" s="12" t="s">
        <v>351</v>
      </c>
      <c r="AZ206" s="12" t="s">
        <v>513</v>
      </c>
      <c r="BA206" s="6" t="s">
        <v>465</v>
      </c>
      <c r="BC206" s="11">
        <f>AW206+AX206</f>
        <v>0</v>
      </c>
      <c r="BD206" s="11">
        <f>G206/(100-BE206)*100</f>
        <v>0</v>
      </c>
      <c r="BE206" s="11">
        <v>0</v>
      </c>
      <c r="BF206" s="11">
        <f>206</f>
        <v>206</v>
      </c>
      <c r="BH206" s="11">
        <f>F206*AO206</f>
        <v>0</v>
      </c>
      <c r="BI206" s="11">
        <f>F206*AP206</f>
        <v>0</v>
      </c>
      <c r="BJ206" s="11">
        <f>F206*G206</f>
        <v>0</v>
      </c>
      <c r="BK206" s="12" t="s">
        <v>64</v>
      </c>
      <c r="BL206" s="11">
        <v>734</v>
      </c>
      <c r="BW206" s="11">
        <v>21</v>
      </c>
      <c r="BX206" s="3" t="s">
        <v>604</v>
      </c>
    </row>
    <row r="207" spans="1:76">
      <c r="A207" s="29" t="s">
        <v>605</v>
      </c>
      <c r="B207" s="2" t="s">
        <v>378</v>
      </c>
      <c r="C207" s="40" t="s">
        <v>379</v>
      </c>
      <c r="D207" s="38"/>
      <c r="E207" s="2" t="s">
        <v>127</v>
      </c>
      <c r="F207" s="11">
        <v>0.92715000000000003</v>
      </c>
      <c r="G207" s="109">
        <v>0</v>
      </c>
      <c r="H207" s="11">
        <f>ROUND(F207*AO207,2)</f>
        <v>0</v>
      </c>
      <c r="I207" s="11">
        <f>ROUND(F207*AP207,2)</f>
        <v>0</v>
      </c>
      <c r="J207" s="11">
        <f>ROUND(F207*G207,2)</f>
        <v>0</v>
      </c>
      <c r="K207" s="108" t="s">
        <v>111</v>
      </c>
      <c r="Z207" s="11">
        <f>ROUND(IF(AQ207="5",BJ207,0),2)</f>
        <v>0</v>
      </c>
      <c r="AB207" s="11">
        <f>ROUND(IF(AQ207="1",BH207,0),2)</f>
        <v>0</v>
      </c>
      <c r="AC207" s="11">
        <f>ROUND(IF(AQ207="1",BI207,0),2)</f>
        <v>0</v>
      </c>
      <c r="AD207" s="11">
        <f>ROUND(IF(AQ207="7",BH207,0),2)</f>
        <v>0</v>
      </c>
      <c r="AE207" s="11">
        <f>ROUND(IF(AQ207="7",BI207,0),2)</f>
        <v>0</v>
      </c>
      <c r="AF207" s="11">
        <f>ROUND(IF(AQ207="2",BH207,0),2)</f>
        <v>0</v>
      </c>
      <c r="AG207" s="11">
        <f>ROUND(IF(AQ207="2",BI207,0),2)</f>
        <v>0</v>
      </c>
      <c r="AH207" s="11">
        <f>ROUND(IF(AQ207="0",BJ207,0),2)</f>
        <v>0</v>
      </c>
      <c r="AI207" s="6" t="s">
        <v>462</v>
      </c>
      <c r="AJ207" s="11">
        <f>IF(AN207=0,J207,0)</f>
        <v>0</v>
      </c>
      <c r="AK207" s="11">
        <f>IF(AN207=12,J207,0)</f>
        <v>0</v>
      </c>
      <c r="AL207" s="11">
        <f>IF(AN207=21,J207,0)</f>
        <v>0</v>
      </c>
      <c r="AN207" s="11">
        <v>21</v>
      </c>
      <c r="AO207" s="11">
        <f>G207*0</f>
        <v>0</v>
      </c>
      <c r="AP207" s="11">
        <f>G207*(1-0)</f>
        <v>0</v>
      </c>
      <c r="AQ207" s="12" t="s">
        <v>74</v>
      </c>
      <c r="AV207" s="11">
        <f>ROUND(AW207+AX207,2)</f>
        <v>0</v>
      </c>
      <c r="AW207" s="11">
        <f>ROUND(F207*AO207,2)</f>
        <v>0</v>
      </c>
      <c r="AX207" s="11">
        <f>ROUND(F207*AP207,2)</f>
        <v>0</v>
      </c>
      <c r="AY207" s="12" t="s">
        <v>351</v>
      </c>
      <c r="AZ207" s="12" t="s">
        <v>513</v>
      </c>
      <c r="BA207" s="6" t="s">
        <v>465</v>
      </c>
      <c r="BC207" s="11">
        <f>AW207+AX207</f>
        <v>0</v>
      </c>
      <c r="BD207" s="11">
        <f>G207/(100-BE207)*100</f>
        <v>0</v>
      </c>
      <c r="BE207" s="11">
        <v>0</v>
      </c>
      <c r="BF207" s="11">
        <f>207</f>
        <v>207</v>
      </c>
      <c r="BH207" s="11">
        <f>F207*AO207</f>
        <v>0</v>
      </c>
      <c r="BI207" s="11">
        <f>F207*AP207</f>
        <v>0</v>
      </c>
      <c r="BJ207" s="11">
        <f>F207*G207</f>
        <v>0</v>
      </c>
      <c r="BK207" s="12" t="s">
        <v>64</v>
      </c>
      <c r="BL207" s="11">
        <v>734</v>
      </c>
      <c r="BW207" s="11">
        <v>21</v>
      </c>
      <c r="BX207" s="3" t="s">
        <v>379</v>
      </c>
    </row>
    <row r="208" spans="1:76">
      <c r="A208" s="29" t="s">
        <v>606</v>
      </c>
      <c r="B208" s="30" t="s">
        <v>381</v>
      </c>
      <c r="C208" s="105" t="s">
        <v>382</v>
      </c>
      <c r="D208" s="70"/>
      <c r="E208" s="30" t="s">
        <v>127</v>
      </c>
      <c r="F208" s="106">
        <v>0.92715000000000003</v>
      </c>
      <c r="G208" s="107">
        <v>0</v>
      </c>
      <c r="H208" s="106">
        <f>ROUND(F208*AO208,2)</f>
        <v>0</v>
      </c>
      <c r="I208" s="106">
        <f>ROUND(F208*AP208,2)</f>
        <v>0</v>
      </c>
      <c r="J208" s="106">
        <f>ROUND(F208*G208,2)</f>
        <v>0</v>
      </c>
      <c r="K208" s="108" t="s">
        <v>111</v>
      </c>
      <c r="Z208" s="11">
        <f>ROUND(IF(AQ208="5",BJ208,0),2)</f>
        <v>0</v>
      </c>
      <c r="AB208" s="11">
        <f>ROUND(IF(AQ208="1",BH208,0),2)</f>
        <v>0</v>
      </c>
      <c r="AC208" s="11">
        <f>ROUND(IF(AQ208="1",BI208,0),2)</f>
        <v>0</v>
      </c>
      <c r="AD208" s="11">
        <f>ROUND(IF(AQ208="7",BH208,0),2)</f>
        <v>0</v>
      </c>
      <c r="AE208" s="11">
        <f>ROUND(IF(AQ208="7",BI208,0),2)</f>
        <v>0</v>
      </c>
      <c r="AF208" s="11">
        <f>ROUND(IF(AQ208="2",BH208,0),2)</f>
        <v>0</v>
      </c>
      <c r="AG208" s="11">
        <f>ROUND(IF(AQ208="2",BI208,0),2)</f>
        <v>0</v>
      </c>
      <c r="AH208" s="11">
        <f>ROUND(IF(AQ208="0",BJ208,0),2)</f>
        <v>0</v>
      </c>
      <c r="AI208" s="6" t="s">
        <v>462</v>
      </c>
      <c r="AJ208" s="11">
        <f>IF(AN208=0,J208,0)</f>
        <v>0</v>
      </c>
      <c r="AK208" s="11">
        <f>IF(AN208=12,J208,0)</f>
        <v>0</v>
      </c>
      <c r="AL208" s="11">
        <f>IF(AN208=21,J208,0)</f>
        <v>0</v>
      </c>
      <c r="AN208" s="11">
        <v>21</v>
      </c>
      <c r="AO208" s="11">
        <f>G208*0</f>
        <v>0</v>
      </c>
      <c r="AP208" s="11">
        <f>G208*(1-0)</f>
        <v>0</v>
      </c>
      <c r="AQ208" s="12" t="s">
        <v>74</v>
      </c>
      <c r="AV208" s="11">
        <f>ROUND(AW208+AX208,2)</f>
        <v>0</v>
      </c>
      <c r="AW208" s="11">
        <f>ROUND(F208*AO208,2)</f>
        <v>0</v>
      </c>
      <c r="AX208" s="11">
        <f>ROUND(F208*AP208,2)</f>
        <v>0</v>
      </c>
      <c r="AY208" s="12" t="s">
        <v>351</v>
      </c>
      <c r="AZ208" s="12" t="s">
        <v>513</v>
      </c>
      <c r="BA208" s="6" t="s">
        <v>465</v>
      </c>
      <c r="BC208" s="11">
        <f>AW208+AX208</f>
        <v>0</v>
      </c>
      <c r="BD208" s="11">
        <f>G208/(100-BE208)*100</f>
        <v>0</v>
      </c>
      <c r="BE208" s="11">
        <v>0</v>
      </c>
      <c r="BF208" s="11">
        <f>208</f>
        <v>208</v>
      </c>
      <c r="BH208" s="11">
        <f>F208*AO208</f>
        <v>0</v>
      </c>
      <c r="BI208" s="11">
        <f>F208*AP208</f>
        <v>0</v>
      </c>
      <c r="BJ208" s="11">
        <f>F208*G208</f>
        <v>0</v>
      </c>
      <c r="BK208" s="12" t="s">
        <v>64</v>
      </c>
      <c r="BL208" s="11">
        <v>734</v>
      </c>
      <c r="BW208" s="11">
        <v>21</v>
      </c>
      <c r="BX208" s="3" t="s">
        <v>382</v>
      </c>
    </row>
    <row r="209" spans="1:76">
      <c r="A209" s="15" t="s">
        <v>52</v>
      </c>
      <c r="B209" s="110" t="s">
        <v>607</v>
      </c>
      <c r="C209" s="111" t="s">
        <v>608</v>
      </c>
      <c r="D209" s="112"/>
      <c r="E209" s="113" t="s">
        <v>4</v>
      </c>
      <c r="F209" s="113" t="s">
        <v>4</v>
      </c>
      <c r="G209" s="97" t="s">
        <v>4</v>
      </c>
      <c r="H209" s="114">
        <f>SUM(H210:H212)</f>
        <v>0</v>
      </c>
      <c r="I209" s="114">
        <f>SUM(I210:I212)</f>
        <v>0</v>
      </c>
      <c r="J209" s="114">
        <f>SUM(J210:J212)</f>
        <v>0</v>
      </c>
      <c r="K209" s="16" t="s">
        <v>52</v>
      </c>
      <c r="AI209" s="6" t="s">
        <v>462</v>
      </c>
      <c r="AS209" s="1">
        <f>SUM(AJ210:AJ212)</f>
        <v>0</v>
      </c>
      <c r="AT209" s="1">
        <f>SUM(AK210:AK212)</f>
        <v>0</v>
      </c>
      <c r="AU209" s="1">
        <f>SUM(AL210:AL212)</f>
        <v>0</v>
      </c>
    </row>
    <row r="210" spans="1:76">
      <c r="A210" s="29" t="s">
        <v>609</v>
      </c>
      <c r="B210" s="30" t="s">
        <v>610</v>
      </c>
      <c r="C210" s="105" t="s">
        <v>611</v>
      </c>
      <c r="D210" s="70"/>
      <c r="E210" s="30" t="s">
        <v>612</v>
      </c>
      <c r="F210" s="106">
        <v>5</v>
      </c>
      <c r="G210" s="107">
        <v>0</v>
      </c>
      <c r="H210" s="106">
        <f>ROUND(F210*AO210,2)</f>
        <v>0</v>
      </c>
      <c r="I210" s="106">
        <f>ROUND(F210*AP210,2)</f>
        <v>0</v>
      </c>
      <c r="J210" s="106">
        <f>ROUND(F210*G210,2)</f>
        <v>0</v>
      </c>
      <c r="K210" s="108" t="s">
        <v>111</v>
      </c>
      <c r="Z210" s="11">
        <f>ROUND(IF(AQ210="5",BJ210,0),2)</f>
        <v>0</v>
      </c>
      <c r="AB210" s="11">
        <f>ROUND(IF(AQ210="1",BH210,0),2)</f>
        <v>0</v>
      </c>
      <c r="AC210" s="11">
        <f>ROUND(IF(AQ210="1",BI210,0),2)</f>
        <v>0</v>
      </c>
      <c r="AD210" s="11">
        <f>ROUND(IF(AQ210="7",BH210,0),2)</f>
        <v>0</v>
      </c>
      <c r="AE210" s="11">
        <f>ROUND(IF(AQ210="7",BI210,0),2)</f>
        <v>0</v>
      </c>
      <c r="AF210" s="11">
        <f>ROUND(IF(AQ210="2",BH210,0),2)</f>
        <v>0</v>
      </c>
      <c r="AG210" s="11">
        <f>ROUND(IF(AQ210="2",BI210,0),2)</f>
        <v>0</v>
      </c>
      <c r="AH210" s="11">
        <f>ROUND(IF(AQ210="0",BJ210,0),2)</f>
        <v>0</v>
      </c>
      <c r="AI210" s="6" t="s">
        <v>462</v>
      </c>
      <c r="AJ210" s="11">
        <f>IF(AN210=0,J210,0)</f>
        <v>0</v>
      </c>
      <c r="AK210" s="11">
        <f>IF(AN210=12,J210,0)</f>
        <v>0</v>
      </c>
      <c r="AL210" s="11">
        <f>IF(AN210=21,J210,0)</f>
        <v>0</v>
      </c>
      <c r="AN210" s="11">
        <v>21</v>
      </c>
      <c r="AO210" s="11">
        <f>G210*0.064620462</f>
        <v>0</v>
      </c>
      <c r="AP210" s="11">
        <f>G210*(1-0.064620462)</f>
        <v>0</v>
      </c>
      <c r="AQ210" s="12" t="s">
        <v>81</v>
      </c>
      <c r="AV210" s="11">
        <f>ROUND(AW210+AX210,2)</f>
        <v>0</v>
      </c>
      <c r="AW210" s="11">
        <f>ROUND(F210*AO210,2)</f>
        <v>0</v>
      </c>
      <c r="AX210" s="11">
        <f>ROUND(F210*AP210,2)</f>
        <v>0</v>
      </c>
      <c r="AY210" s="12" t="s">
        <v>613</v>
      </c>
      <c r="AZ210" s="12" t="s">
        <v>614</v>
      </c>
      <c r="BA210" s="6" t="s">
        <v>465</v>
      </c>
      <c r="BC210" s="11">
        <f>AW210+AX210</f>
        <v>0</v>
      </c>
      <c r="BD210" s="11">
        <f>G210/(100-BE210)*100</f>
        <v>0</v>
      </c>
      <c r="BE210" s="11">
        <v>0</v>
      </c>
      <c r="BF210" s="11">
        <f>210</f>
        <v>210</v>
      </c>
      <c r="BH210" s="11">
        <f>F210*AO210</f>
        <v>0</v>
      </c>
      <c r="BI210" s="11">
        <f>F210*AP210</f>
        <v>0</v>
      </c>
      <c r="BJ210" s="11">
        <f>F210*G210</f>
        <v>0</v>
      </c>
      <c r="BK210" s="12" t="s">
        <v>64</v>
      </c>
      <c r="BL210" s="11">
        <v>767</v>
      </c>
      <c r="BW210" s="11">
        <v>21</v>
      </c>
      <c r="BX210" s="3" t="s">
        <v>611</v>
      </c>
    </row>
    <row r="211" spans="1:76">
      <c r="A211" s="29" t="s">
        <v>615</v>
      </c>
      <c r="B211" s="2" t="s">
        <v>616</v>
      </c>
      <c r="C211" s="40" t="s">
        <v>617</v>
      </c>
      <c r="D211" s="38"/>
      <c r="E211" s="2" t="s">
        <v>612</v>
      </c>
      <c r="F211" s="11">
        <v>5</v>
      </c>
      <c r="G211" s="109">
        <v>0</v>
      </c>
      <c r="H211" s="11">
        <f>ROUND(F211*AO211,2)</f>
        <v>0</v>
      </c>
      <c r="I211" s="11">
        <f>ROUND(F211*AP211,2)</f>
        <v>0</v>
      </c>
      <c r="J211" s="11">
        <f>ROUND(F211*G211,2)</f>
        <v>0</v>
      </c>
      <c r="K211" s="108" t="s">
        <v>52</v>
      </c>
      <c r="Z211" s="11">
        <f>ROUND(IF(AQ211="5",BJ211,0),2)</f>
        <v>0</v>
      </c>
      <c r="AB211" s="11">
        <f>ROUND(IF(AQ211="1",BH211,0),2)</f>
        <v>0</v>
      </c>
      <c r="AC211" s="11">
        <f>ROUND(IF(AQ211="1",BI211,0),2)</f>
        <v>0</v>
      </c>
      <c r="AD211" s="11">
        <f>ROUND(IF(AQ211="7",BH211,0),2)</f>
        <v>0</v>
      </c>
      <c r="AE211" s="11">
        <f>ROUND(IF(AQ211="7",BI211,0),2)</f>
        <v>0</v>
      </c>
      <c r="AF211" s="11">
        <f>ROUND(IF(AQ211="2",BH211,0),2)</f>
        <v>0</v>
      </c>
      <c r="AG211" s="11">
        <f>ROUND(IF(AQ211="2",BI211,0),2)</f>
        <v>0</v>
      </c>
      <c r="AH211" s="11">
        <f>ROUND(IF(AQ211="0",BJ211,0),2)</f>
        <v>0</v>
      </c>
      <c r="AI211" s="6" t="s">
        <v>462</v>
      </c>
      <c r="AJ211" s="11">
        <f>IF(AN211=0,J211,0)</f>
        <v>0</v>
      </c>
      <c r="AK211" s="11">
        <f>IF(AN211=12,J211,0)</f>
        <v>0</v>
      </c>
      <c r="AL211" s="11">
        <f>IF(AN211=21,J211,0)</f>
        <v>0</v>
      </c>
      <c r="AN211" s="11">
        <v>21</v>
      </c>
      <c r="AO211" s="11">
        <f>G211*1</f>
        <v>0</v>
      </c>
      <c r="AP211" s="11">
        <f>G211*(1-1)</f>
        <v>0</v>
      </c>
      <c r="AQ211" s="12" t="s">
        <v>81</v>
      </c>
      <c r="AV211" s="11">
        <f>ROUND(AW211+AX211,2)</f>
        <v>0</v>
      </c>
      <c r="AW211" s="11">
        <f>ROUND(F211*AO211,2)</f>
        <v>0</v>
      </c>
      <c r="AX211" s="11">
        <f>ROUND(F211*AP211,2)</f>
        <v>0</v>
      </c>
      <c r="AY211" s="12" t="s">
        <v>613</v>
      </c>
      <c r="AZ211" s="12" t="s">
        <v>614</v>
      </c>
      <c r="BA211" s="6" t="s">
        <v>465</v>
      </c>
      <c r="BC211" s="11">
        <f>AW211+AX211</f>
        <v>0</v>
      </c>
      <c r="BD211" s="11">
        <f>G211/(100-BE211)*100</f>
        <v>0</v>
      </c>
      <c r="BE211" s="11">
        <v>0</v>
      </c>
      <c r="BF211" s="11">
        <f>211</f>
        <v>211</v>
      </c>
      <c r="BH211" s="11">
        <f>F211*AO211</f>
        <v>0</v>
      </c>
      <c r="BI211" s="11">
        <f>F211*AP211</f>
        <v>0</v>
      </c>
      <c r="BJ211" s="11">
        <f>F211*G211</f>
        <v>0</v>
      </c>
      <c r="BK211" s="12" t="s">
        <v>64</v>
      </c>
      <c r="BL211" s="11">
        <v>767</v>
      </c>
      <c r="BW211" s="11">
        <v>21</v>
      </c>
      <c r="BX211" s="3" t="s">
        <v>617</v>
      </c>
    </row>
    <row r="212" spans="1:76">
      <c r="A212" s="29" t="s">
        <v>618</v>
      </c>
      <c r="B212" s="30" t="s">
        <v>619</v>
      </c>
      <c r="C212" s="105" t="s">
        <v>620</v>
      </c>
      <c r="D212" s="70"/>
      <c r="E212" s="30" t="s">
        <v>612</v>
      </c>
      <c r="F212" s="106">
        <v>10</v>
      </c>
      <c r="G212" s="107">
        <v>0</v>
      </c>
      <c r="H212" s="106">
        <f>ROUND(F212*AO212,2)</f>
        <v>0</v>
      </c>
      <c r="I212" s="106">
        <f>ROUND(F212*AP212,2)</f>
        <v>0</v>
      </c>
      <c r="J212" s="106">
        <f>ROUND(F212*G212,2)</f>
        <v>0</v>
      </c>
      <c r="K212" s="108" t="s">
        <v>111</v>
      </c>
      <c r="Z212" s="11">
        <f>ROUND(IF(AQ212="5",BJ212,0),2)</f>
        <v>0</v>
      </c>
      <c r="AB212" s="11">
        <f>ROUND(IF(AQ212="1",BH212,0),2)</f>
        <v>0</v>
      </c>
      <c r="AC212" s="11">
        <f>ROUND(IF(AQ212="1",BI212,0),2)</f>
        <v>0</v>
      </c>
      <c r="AD212" s="11">
        <f>ROUND(IF(AQ212="7",BH212,0),2)</f>
        <v>0</v>
      </c>
      <c r="AE212" s="11">
        <f>ROUND(IF(AQ212="7",BI212,0),2)</f>
        <v>0</v>
      </c>
      <c r="AF212" s="11">
        <f>ROUND(IF(AQ212="2",BH212,0),2)</f>
        <v>0</v>
      </c>
      <c r="AG212" s="11">
        <f>ROUND(IF(AQ212="2",BI212,0),2)</f>
        <v>0</v>
      </c>
      <c r="AH212" s="11">
        <f>ROUND(IF(AQ212="0",BJ212,0),2)</f>
        <v>0</v>
      </c>
      <c r="AI212" s="6" t="s">
        <v>462</v>
      </c>
      <c r="AJ212" s="11">
        <f>IF(AN212=0,J212,0)</f>
        <v>0</v>
      </c>
      <c r="AK212" s="11">
        <f>IF(AN212=12,J212,0)</f>
        <v>0</v>
      </c>
      <c r="AL212" s="11">
        <f>IF(AN212=21,J212,0)</f>
        <v>0</v>
      </c>
      <c r="AN212" s="11">
        <v>21</v>
      </c>
      <c r="AO212" s="11">
        <f>G212*0.217697228</f>
        <v>0</v>
      </c>
      <c r="AP212" s="11">
        <f>G212*(1-0.217697228)</f>
        <v>0</v>
      </c>
      <c r="AQ212" s="12" t="s">
        <v>81</v>
      </c>
      <c r="AV212" s="11">
        <f>ROUND(AW212+AX212,2)</f>
        <v>0</v>
      </c>
      <c r="AW212" s="11">
        <f>ROUND(F212*AO212,2)</f>
        <v>0</v>
      </c>
      <c r="AX212" s="11">
        <f>ROUND(F212*AP212,2)</f>
        <v>0</v>
      </c>
      <c r="AY212" s="12" t="s">
        <v>613</v>
      </c>
      <c r="AZ212" s="12" t="s">
        <v>614</v>
      </c>
      <c r="BA212" s="6" t="s">
        <v>465</v>
      </c>
      <c r="BC212" s="11">
        <f>AW212+AX212</f>
        <v>0</v>
      </c>
      <c r="BD212" s="11">
        <f>G212/(100-BE212)*100</f>
        <v>0</v>
      </c>
      <c r="BE212" s="11">
        <v>0</v>
      </c>
      <c r="BF212" s="11">
        <f>212</f>
        <v>212</v>
      </c>
      <c r="BH212" s="11">
        <f>F212*AO212</f>
        <v>0</v>
      </c>
      <c r="BI212" s="11">
        <f>F212*AP212</f>
        <v>0</v>
      </c>
      <c r="BJ212" s="11">
        <f>F212*G212</f>
        <v>0</v>
      </c>
      <c r="BK212" s="12" t="s">
        <v>64</v>
      </c>
      <c r="BL212" s="11">
        <v>767</v>
      </c>
      <c r="BW212" s="11">
        <v>21</v>
      </c>
      <c r="BX212" s="3" t="s">
        <v>620</v>
      </c>
    </row>
    <row r="213" spans="1:76">
      <c r="A213" s="15" t="s">
        <v>52</v>
      </c>
      <c r="B213" s="110" t="s">
        <v>383</v>
      </c>
      <c r="C213" s="111" t="s">
        <v>384</v>
      </c>
      <c r="D213" s="112"/>
      <c r="E213" s="113" t="s">
        <v>4</v>
      </c>
      <c r="F213" s="113" t="s">
        <v>4</v>
      </c>
      <c r="G213" s="97" t="s">
        <v>4</v>
      </c>
      <c r="H213" s="114">
        <f>SUM(H214:H216)</f>
        <v>0</v>
      </c>
      <c r="I213" s="114">
        <f>SUM(I214:I216)</f>
        <v>0</v>
      </c>
      <c r="J213" s="114">
        <f>SUM(J214:J216)</f>
        <v>0</v>
      </c>
      <c r="K213" s="16" t="s">
        <v>52</v>
      </c>
      <c r="AI213" s="6" t="s">
        <v>462</v>
      </c>
      <c r="AS213" s="1">
        <f>SUM(AJ214:AJ216)</f>
        <v>0</v>
      </c>
      <c r="AT213" s="1">
        <f>SUM(AK214:AK216)</f>
        <v>0</v>
      </c>
      <c r="AU213" s="1">
        <f>SUM(AL214:AL216)</f>
        <v>0</v>
      </c>
    </row>
    <row r="214" spans="1:76">
      <c r="A214" s="29" t="s">
        <v>621</v>
      </c>
      <c r="B214" s="30" t="s">
        <v>622</v>
      </c>
      <c r="C214" s="105" t="s">
        <v>623</v>
      </c>
      <c r="D214" s="70"/>
      <c r="E214" s="30" t="s">
        <v>110</v>
      </c>
      <c r="F214" s="106">
        <v>1</v>
      </c>
      <c r="G214" s="107">
        <v>0</v>
      </c>
      <c r="H214" s="106">
        <f>ROUND(F214*AO214,2)</f>
        <v>0</v>
      </c>
      <c r="I214" s="106">
        <f>ROUND(F214*AP214,2)</f>
        <v>0</v>
      </c>
      <c r="J214" s="106">
        <f>ROUND(F214*G214,2)</f>
        <v>0</v>
      </c>
      <c r="K214" s="108" t="s">
        <v>111</v>
      </c>
      <c r="Z214" s="11">
        <f>ROUND(IF(AQ214="5",BJ214,0),2)</f>
        <v>0</v>
      </c>
      <c r="AB214" s="11">
        <f>ROUND(IF(AQ214="1",BH214,0),2)</f>
        <v>0</v>
      </c>
      <c r="AC214" s="11">
        <f>ROUND(IF(AQ214="1",BI214,0),2)</f>
        <v>0</v>
      </c>
      <c r="AD214" s="11">
        <f>ROUND(IF(AQ214="7",BH214,0),2)</f>
        <v>0</v>
      </c>
      <c r="AE214" s="11">
        <f>ROUND(IF(AQ214="7",BI214,0),2)</f>
        <v>0</v>
      </c>
      <c r="AF214" s="11">
        <f>ROUND(IF(AQ214="2",BH214,0),2)</f>
        <v>0</v>
      </c>
      <c r="AG214" s="11">
        <f>ROUND(IF(AQ214="2",BI214,0),2)</f>
        <v>0</v>
      </c>
      <c r="AH214" s="11">
        <f>ROUND(IF(AQ214="0",BJ214,0),2)</f>
        <v>0</v>
      </c>
      <c r="AI214" s="6" t="s">
        <v>462</v>
      </c>
      <c r="AJ214" s="11">
        <f>IF(AN214=0,J214,0)</f>
        <v>0</v>
      </c>
      <c r="AK214" s="11">
        <f>IF(AN214=12,J214,0)</f>
        <v>0</v>
      </c>
      <c r="AL214" s="11">
        <f>IF(AN214=21,J214,0)</f>
        <v>0</v>
      </c>
      <c r="AN214" s="11">
        <v>21</v>
      </c>
      <c r="AO214" s="11">
        <f>G214*0.167152367</f>
        <v>0</v>
      </c>
      <c r="AP214" s="11">
        <f>G214*(1-0.167152367)</f>
        <v>0</v>
      </c>
      <c r="AQ214" s="12" t="s">
        <v>81</v>
      </c>
      <c r="AV214" s="11">
        <f>ROUND(AW214+AX214,2)</f>
        <v>0</v>
      </c>
      <c r="AW214" s="11">
        <f>ROUND(F214*AO214,2)</f>
        <v>0</v>
      </c>
      <c r="AX214" s="11">
        <f>ROUND(F214*AP214,2)</f>
        <v>0</v>
      </c>
      <c r="AY214" s="12" t="s">
        <v>388</v>
      </c>
      <c r="AZ214" s="12" t="s">
        <v>624</v>
      </c>
      <c r="BA214" s="6" t="s">
        <v>465</v>
      </c>
      <c r="BC214" s="11">
        <f>AW214+AX214</f>
        <v>0</v>
      </c>
      <c r="BD214" s="11">
        <f>G214/(100-BE214)*100</f>
        <v>0</v>
      </c>
      <c r="BE214" s="11">
        <v>0</v>
      </c>
      <c r="BF214" s="11">
        <f>214</f>
        <v>214</v>
      </c>
      <c r="BH214" s="11">
        <f>F214*AO214</f>
        <v>0</v>
      </c>
      <c r="BI214" s="11">
        <f>F214*AP214</f>
        <v>0</v>
      </c>
      <c r="BJ214" s="11">
        <f>F214*G214</f>
        <v>0</v>
      </c>
      <c r="BK214" s="12" t="s">
        <v>64</v>
      </c>
      <c r="BL214" s="11">
        <v>783</v>
      </c>
      <c r="BW214" s="11">
        <v>21</v>
      </c>
      <c r="BX214" s="3" t="s">
        <v>623</v>
      </c>
    </row>
    <row r="215" spans="1:76">
      <c r="A215" s="29" t="s">
        <v>625</v>
      </c>
      <c r="B215" s="2" t="s">
        <v>626</v>
      </c>
      <c r="C215" s="40" t="s">
        <v>627</v>
      </c>
      <c r="D215" s="38"/>
      <c r="E215" s="2" t="s">
        <v>120</v>
      </c>
      <c r="F215" s="11">
        <v>14</v>
      </c>
      <c r="G215" s="109">
        <v>0</v>
      </c>
      <c r="H215" s="11">
        <f>ROUND(F215*AO215,2)</f>
        <v>0</v>
      </c>
      <c r="I215" s="11">
        <f>ROUND(F215*AP215,2)</f>
        <v>0</v>
      </c>
      <c r="J215" s="11">
        <f>ROUND(F215*G215,2)</f>
        <v>0</v>
      </c>
      <c r="K215" s="108" t="s">
        <v>111</v>
      </c>
      <c r="Z215" s="11">
        <f>ROUND(IF(AQ215="5",BJ215,0),2)</f>
        <v>0</v>
      </c>
      <c r="AB215" s="11">
        <f>ROUND(IF(AQ215="1",BH215,0),2)</f>
        <v>0</v>
      </c>
      <c r="AC215" s="11">
        <f>ROUND(IF(AQ215="1",BI215,0),2)</f>
        <v>0</v>
      </c>
      <c r="AD215" s="11">
        <f>ROUND(IF(AQ215="7",BH215,0),2)</f>
        <v>0</v>
      </c>
      <c r="AE215" s="11">
        <f>ROUND(IF(AQ215="7",BI215,0),2)</f>
        <v>0</v>
      </c>
      <c r="AF215" s="11">
        <f>ROUND(IF(AQ215="2",BH215,0),2)</f>
        <v>0</v>
      </c>
      <c r="AG215" s="11">
        <f>ROUND(IF(AQ215="2",BI215,0),2)</f>
        <v>0</v>
      </c>
      <c r="AH215" s="11">
        <f>ROUND(IF(AQ215="0",BJ215,0),2)</f>
        <v>0</v>
      </c>
      <c r="AI215" s="6" t="s">
        <v>462</v>
      </c>
      <c r="AJ215" s="11">
        <f>IF(AN215=0,J215,0)</f>
        <v>0</v>
      </c>
      <c r="AK215" s="11">
        <f>IF(AN215=12,J215,0)</f>
        <v>0</v>
      </c>
      <c r="AL215" s="11">
        <f>IF(AN215=21,J215,0)</f>
        <v>0</v>
      </c>
      <c r="AN215" s="11">
        <v>21</v>
      </c>
      <c r="AO215" s="11">
        <f>G215*0.201095072</f>
        <v>0</v>
      </c>
      <c r="AP215" s="11">
        <f>G215*(1-0.201095072)</f>
        <v>0</v>
      </c>
      <c r="AQ215" s="12" t="s">
        <v>81</v>
      </c>
      <c r="AV215" s="11">
        <f>ROUND(AW215+AX215,2)</f>
        <v>0</v>
      </c>
      <c r="AW215" s="11">
        <f>ROUND(F215*AO215,2)</f>
        <v>0</v>
      </c>
      <c r="AX215" s="11">
        <f>ROUND(F215*AP215,2)</f>
        <v>0</v>
      </c>
      <c r="AY215" s="12" t="s">
        <v>388</v>
      </c>
      <c r="AZ215" s="12" t="s">
        <v>624</v>
      </c>
      <c r="BA215" s="6" t="s">
        <v>465</v>
      </c>
      <c r="BC215" s="11">
        <f>AW215+AX215</f>
        <v>0</v>
      </c>
      <c r="BD215" s="11">
        <f>G215/(100-BE215)*100</f>
        <v>0</v>
      </c>
      <c r="BE215" s="11">
        <v>0</v>
      </c>
      <c r="BF215" s="11">
        <f>215</f>
        <v>215</v>
      </c>
      <c r="BH215" s="11">
        <f>F215*AO215</f>
        <v>0</v>
      </c>
      <c r="BI215" s="11">
        <f>F215*AP215</f>
        <v>0</v>
      </c>
      <c r="BJ215" s="11">
        <f>F215*G215</f>
        <v>0</v>
      </c>
      <c r="BK215" s="12" t="s">
        <v>64</v>
      </c>
      <c r="BL215" s="11">
        <v>783</v>
      </c>
      <c r="BW215" s="11">
        <v>21</v>
      </c>
      <c r="BX215" s="3" t="s">
        <v>627</v>
      </c>
    </row>
    <row r="216" spans="1:76">
      <c r="A216" s="29" t="s">
        <v>628</v>
      </c>
      <c r="B216" s="30" t="s">
        <v>629</v>
      </c>
      <c r="C216" s="105" t="s">
        <v>630</v>
      </c>
      <c r="D216" s="70"/>
      <c r="E216" s="30" t="s">
        <v>120</v>
      </c>
      <c r="F216" s="106">
        <v>14</v>
      </c>
      <c r="G216" s="107">
        <v>0</v>
      </c>
      <c r="H216" s="106">
        <f>ROUND(F216*AO216,2)</f>
        <v>0</v>
      </c>
      <c r="I216" s="106">
        <f>ROUND(F216*AP216,2)</f>
        <v>0</v>
      </c>
      <c r="J216" s="106">
        <f>ROUND(F216*G216,2)</f>
        <v>0</v>
      </c>
      <c r="K216" s="108" t="s">
        <v>111</v>
      </c>
      <c r="Z216" s="11">
        <f>ROUND(IF(AQ216="5",BJ216,0),2)</f>
        <v>0</v>
      </c>
      <c r="AB216" s="11">
        <f>ROUND(IF(AQ216="1",BH216,0),2)</f>
        <v>0</v>
      </c>
      <c r="AC216" s="11">
        <f>ROUND(IF(AQ216="1",BI216,0),2)</f>
        <v>0</v>
      </c>
      <c r="AD216" s="11">
        <f>ROUND(IF(AQ216="7",BH216,0),2)</f>
        <v>0</v>
      </c>
      <c r="AE216" s="11">
        <f>ROUND(IF(AQ216="7",BI216,0),2)</f>
        <v>0</v>
      </c>
      <c r="AF216" s="11">
        <f>ROUND(IF(AQ216="2",BH216,0),2)</f>
        <v>0</v>
      </c>
      <c r="AG216" s="11">
        <f>ROUND(IF(AQ216="2",BI216,0),2)</f>
        <v>0</v>
      </c>
      <c r="AH216" s="11">
        <f>ROUND(IF(AQ216="0",BJ216,0),2)</f>
        <v>0</v>
      </c>
      <c r="AI216" s="6" t="s">
        <v>462</v>
      </c>
      <c r="AJ216" s="11">
        <f>IF(AN216=0,J216,0)</f>
        <v>0</v>
      </c>
      <c r="AK216" s="11">
        <f>IF(AN216=12,J216,0)</f>
        <v>0</v>
      </c>
      <c r="AL216" s="11">
        <f>IF(AN216=21,J216,0)</f>
        <v>0</v>
      </c>
      <c r="AN216" s="11">
        <v>21</v>
      </c>
      <c r="AO216" s="11">
        <f>G216*0.19406955</f>
        <v>0</v>
      </c>
      <c r="AP216" s="11">
        <f>G216*(1-0.19406955)</f>
        <v>0</v>
      </c>
      <c r="AQ216" s="12" t="s">
        <v>81</v>
      </c>
      <c r="AV216" s="11">
        <f>ROUND(AW216+AX216,2)</f>
        <v>0</v>
      </c>
      <c r="AW216" s="11">
        <f>ROUND(F216*AO216,2)</f>
        <v>0</v>
      </c>
      <c r="AX216" s="11">
        <f>ROUND(F216*AP216,2)</f>
        <v>0</v>
      </c>
      <c r="AY216" s="12" t="s">
        <v>388</v>
      </c>
      <c r="AZ216" s="12" t="s">
        <v>624</v>
      </c>
      <c r="BA216" s="6" t="s">
        <v>465</v>
      </c>
      <c r="BC216" s="11">
        <f>AW216+AX216</f>
        <v>0</v>
      </c>
      <c r="BD216" s="11">
        <f>G216/(100-BE216)*100</f>
        <v>0</v>
      </c>
      <c r="BE216" s="11">
        <v>0</v>
      </c>
      <c r="BF216" s="11">
        <f>216</f>
        <v>216</v>
      </c>
      <c r="BH216" s="11">
        <f>F216*AO216</f>
        <v>0</v>
      </c>
      <c r="BI216" s="11">
        <f>F216*AP216</f>
        <v>0</v>
      </c>
      <c r="BJ216" s="11">
        <f>F216*G216</f>
        <v>0</v>
      </c>
      <c r="BK216" s="12" t="s">
        <v>64</v>
      </c>
      <c r="BL216" s="11">
        <v>783</v>
      </c>
      <c r="BW216" s="11">
        <v>21</v>
      </c>
      <c r="BX216" s="3" t="s">
        <v>630</v>
      </c>
    </row>
    <row r="217" spans="1:76">
      <c r="A217" s="15" t="s">
        <v>52</v>
      </c>
      <c r="B217" s="110" t="s">
        <v>374</v>
      </c>
      <c r="C217" s="111" t="s">
        <v>408</v>
      </c>
      <c r="D217" s="112"/>
      <c r="E217" s="113" t="s">
        <v>4</v>
      </c>
      <c r="F217" s="113" t="s">
        <v>4</v>
      </c>
      <c r="G217" s="97" t="s">
        <v>4</v>
      </c>
      <c r="H217" s="114">
        <f>SUM(H218:H219)</f>
        <v>0</v>
      </c>
      <c r="I217" s="114">
        <f>SUM(I218:I219)</f>
        <v>0</v>
      </c>
      <c r="J217" s="114">
        <f>SUM(J218:J219)</f>
        <v>0</v>
      </c>
      <c r="K217" s="16" t="s">
        <v>52</v>
      </c>
      <c r="AI217" s="6" t="s">
        <v>462</v>
      </c>
      <c r="AS217" s="1">
        <f>SUM(AJ218:AJ219)</f>
        <v>0</v>
      </c>
      <c r="AT217" s="1">
        <f>SUM(AK218:AK219)</f>
        <v>0</v>
      </c>
      <c r="AU217" s="1">
        <f>SUM(AL218:AL219)</f>
        <v>0</v>
      </c>
    </row>
    <row r="218" spans="1:76">
      <c r="A218" s="29" t="s">
        <v>631</v>
      </c>
      <c r="B218" s="30" t="s">
        <v>632</v>
      </c>
      <c r="C218" s="105" t="s">
        <v>633</v>
      </c>
      <c r="D218" s="70"/>
      <c r="E218" s="30" t="s">
        <v>110</v>
      </c>
      <c r="F218" s="106">
        <v>20</v>
      </c>
      <c r="G218" s="107">
        <v>0</v>
      </c>
      <c r="H218" s="106">
        <f>ROUND(F218*AO218,2)</f>
        <v>0</v>
      </c>
      <c r="I218" s="106">
        <f>ROUND(F218*AP218,2)</f>
        <v>0</v>
      </c>
      <c r="J218" s="106">
        <f>ROUND(F218*G218,2)</f>
        <v>0</v>
      </c>
      <c r="K218" s="108" t="s">
        <v>111</v>
      </c>
      <c r="Z218" s="11">
        <f>ROUND(IF(AQ218="5",BJ218,0),2)</f>
        <v>0</v>
      </c>
      <c r="AB218" s="11">
        <f>ROUND(IF(AQ218="1",BH218,0),2)</f>
        <v>0</v>
      </c>
      <c r="AC218" s="11">
        <f>ROUND(IF(AQ218="1",BI218,0),2)</f>
        <v>0</v>
      </c>
      <c r="AD218" s="11">
        <f>ROUND(IF(AQ218="7",BH218,0),2)</f>
        <v>0</v>
      </c>
      <c r="AE218" s="11">
        <f>ROUND(IF(AQ218="7",BI218,0),2)</f>
        <v>0</v>
      </c>
      <c r="AF218" s="11">
        <f>ROUND(IF(AQ218="2",BH218,0),2)</f>
        <v>0</v>
      </c>
      <c r="AG218" s="11">
        <f>ROUND(IF(AQ218="2",BI218,0),2)</f>
        <v>0</v>
      </c>
      <c r="AH218" s="11">
        <f>ROUND(IF(AQ218="0",BJ218,0),2)</f>
        <v>0</v>
      </c>
      <c r="AI218" s="6" t="s">
        <v>462</v>
      </c>
      <c r="AJ218" s="11">
        <f>IF(AN218=0,J218,0)</f>
        <v>0</v>
      </c>
      <c r="AK218" s="11">
        <f>IF(AN218=12,J218,0)</f>
        <v>0</v>
      </c>
      <c r="AL218" s="11">
        <f>IF(AN218=21,J218,0)</f>
        <v>0</v>
      </c>
      <c r="AN218" s="11">
        <v>21</v>
      </c>
      <c r="AO218" s="11">
        <f>G218*0.012649573</f>
        <v>0</v>
      </c>
      <c r="AP218" s="11">
        <f>G218*(1-0.012649573)</f>
        <v>0</v>
      </c>
      <c r="AQ218" s="12" t="s">
        <v>57</v>
      </c>
      <c r="AV218" s="11">
        <f>ROUND(AW218+AX218,2)</f>
        <v>0</v>
      </c>
      <c r="AW218" s="11">
        <f>ROUND(F218*AO218,2)</f>
        <v>0</v>
      </c>
      <c r="AX218" s="11">
        <f>ROUND(F218*AP218,2)</f>
        <v>0</v>
      </c>
      <c r="AY218" s="12" t="s">
        <v>412</v>
      </c>
      <c r="AZ218" s="12" t="s">
        <v>634</v>
      </c>
      <c r="BA218" s="6" t="s">
        <v>465</v>
      </c>
      <c r="BC218" s="11">
        <f>AW218+AX218</f>
        <v>0</v>
      </c>
      <c r="BD218" s="11">
        <f>G218/(100-BE218)*100</f>
        <v>0</v>
      </c>
      <c r="BE218" s="11">
        <v>0</v>
      </c>
      <c r="BF218" s="11">
        <f>218</f>
        <v>218</v>
      </c>
      <c r="BH218" s="11">
        <f>F218*AO218</f>
        <v>0</v>
      </c>
      <c r="BI218" s="11">
        <f>F218*AP218</f>
        <v>0</v>
      </c>
      <c r="BJ218" s="11">
        <f>F218*G218</f>
        <v>0</v>
      </c>
      <c r="BK218" s="12" t="s">
        <v>64</v>
      </c>
      <c r="BL218" s="11">
        <v>95</v>
      </c>
      <c r="BW218" s="11">
        <v>21</v>
      </c>
      <c r="BX218" s="3" t="s">
        <v>633</v>
      </c>
    </row>
    <row r="219" spans="1:76">
      <c r="A219" s="29" t="s">
        <v>635</v>
      </c>
      <c r="B219" s="30" t="s">
        <v>410</v>
      </c>
      <c r="C219" s="105" t="s">
        <v>411</v>
      </c>
      <c r="D219" s="70"/>
      <c r="E219" s="30" t="s">
        <v>110</v>
      </c>
      <c r="F219" s="106">
        <v>20</v>
      </c>
      <c r="G219" s="107">
        <v>0</v>
      </c>
      <c r="H219" s="106">
        <f>ROUND(F219*AO219,2)</f>
        <v>0</v>
      </c>
      <c r="I219" s="106">
        <f>ROUND(F219*AP219,2)</f>
        <v>0</v>
      </c>
      <c r="J219" s="106">
        <f>ROUND(F219*G219,2)</f>
        <v>0</v>
      </c>
      <c r="K219" s="108" t="s">
        <v>111</v>
      </c>
      <c r="Z219" s="11">
        <f>ROUND(IF(AQ219="5",BJ219,0),2)</f>
        <v>0</v>
      </c>
      <c r="AB219" s="11">
        <f>ROUND(IF(AQ219="1",BH219,0),2)</f>
        <v>0</v>
      </c>
      <c r="AC219" s="11">
        <f>ROUND(IF(AQ219="1",BI219,0),2)</f>
        <v>0</v>
      </c>
      <c r="AD219" s="11">
        <f>ROUND(IF(AQ219="7",BH219,0),2)</f>
        <v>0</v>
      </c>
      <c r="AE219" s="11">
        <f>ROUND(IF(AQ219="7",BI219,0),2)</f>
        <v>0</v>
      </c>
      <c r="AF219" s="11">
        <f>ROUND(IF(AQ219="2",BH219,0),2)</f>
        <v>0</v>
      </c>
      <c r="AG219" s="11">
        <f>ROUND(IF(AQ219="2",BI219,0),2)</f>
        <v>0</v>
      </c>
      <c r="AH219" s="11">
        <f>ROUND(IF(AQ219="0",BJ219,0),2)</f>
        <v>0</v>
      </c>
      <c r="AI219" s="6" t="s">
        <v>462</v>
      </c>
      <c r="AJ219" s="11">
        <f>IF(AN219=0,J219,0)</f>
        <v>0</v>
      </c>
      <c r="AK219" s="11">
        <f>IF(AN219=12,J219,0)</f>
        <v>0</v>
      </c>
      <c r="AL219" s="11">
        <f>IF(AN219=21,J219,0)</f>
        <v>0</v>
      </c>
      <c r="AN219" s="11">
        <v>21</v>
      </c>
      <c r="AO219" s="11">
        <f>G219*0</f>
        <v>0</v>
      </c>
      <c r="AP219" s="11">
        <f>G219*(1-0)</f>
        <v>0</v>
      </c>
      <c r="AQ219" s="12" t="s">
        <v>57</v>
      </c>
      <c r="AV219" s="11">
        <f>ROUND(AW219+AX219,2)</f>
        <v>0</v>
      </c>
      <c r="AW219" s="11">
        <f>ROUND(F219*AO219,2)</f>
        <v>0</v>
      </c>
      <c r="AX219" s="11">
        <f>ROUND(F219*AP219,2)</f>
        <v>0</v>
      </c>
      <c r="AY219" s="12" t="s">
        <v>412</v>
      </c>
      <c r="AZ219" s="12" t="s">
        <v>634</v>
      </c>
      <c r="BA219" s="6" t="s">
        <v>465</v>
      </c>
      <c r="BC219" s="11">
        <f>AW219+AX219</f>
        <v>0</v>
      </c>
      <c r="BD219" s="11">
        <f>G219/(100-BE219)*100</f>
        <v>0</v>
      </c>
      <c r="BE219" s="11">
        <v>0</v>
      </c>
      <c r="BF219" s="11">
        <f>219</f>
        <v>219</v>
      </c>
      <c r="BH219" s="11">
        <f>F219*AO219</f>
        <v>0</v>
      </c>
      <c r="BI219" s="11">
        <f>F219*AP219</f>
        <v>0</v>
      </c>
      <c r="BJ219" s="11">
        <f>F219*G219</f>
        <v>0</v>
      </c>
      <c r="BK219" s="12" t="s">
        <v>64</v>
      </c>
      <c r="BL219" s="11">
        <v>95</v>
      </c>
      <c r="BW219" s="11">
        <v>21</v>
      </c>
      <c r="BX219" s="3" t="s">
        <v>411</v>
      </c>
    </row>
    <row r="220" spans="1:76">
      <c r="A220" s="15" t="s">
        <v>52</v>
      </c>
      <c r="B220" s="110" t="s">
        <v>52</v>
      </c>
      <c r="C220" s="111" t="s">
        <v>420</v>
      </c>
      <c r="D220" s="112"/>
      <c r="E220" s="113" t="s">
        <v>4</v>
      </c>
      <c r="F220" s="113" t="s">
        <v>4</v>
      </c>
      <c r="G220" s="97" t="s">
        <v>4</v>
      </c>
      <c r="H220" s="114">
        <f>SUM(H221:H225)</f>
        <v>0</v>
      </c>
      <c r="I220" s="114">
        <f>SUM(I221:I225)</f>
        <v>0</v>
      </c>
      <c r="J220" s="114">
        <f>SUM(J221:J225)</f>
        <v>0</v>
      </c>
      <c r="K220" s="16" t="s">
        <v>52</v>
      </c>
      <c r="AI220" s="6" t="s">
        <v>462</v>
      </c>
      <c r="AS220" s="1">
        <f>SUM(AJ221:AJ225)</f>
        <v>0</v>
      </c>
      <c r="AT220" s="1">
        <f>SUM(AK221:AK225)</f>
        <v>0</v>
      </c>
      <c r="AU220" s="1">
        <f>SUM(AL221:AL225)</f>
        <v>0</v>
      </c>
    </row>
    <row r="221" spans="1:76">
      <c r="A221" s="29" t="s">
        <v>636</v>
      </c>
      <c r="B221" s="30" t="s">
        <v>422</v>
      </c>
      <c r="C221" s="105" t="s">
        <v>423</v>
      </c>
      <c r="D221" s="70"/>
      <c r="E221" s="30" t="s">
        <v>424</v>
      </c>
      <c r="F221" s="106">
        <v>2</v>
      </c>
      <c r="G221" s="107">
        <v>0</v>
      </c>
      <c r="H221" s="106">
        <f>ROUND(F221*AO221,2)</f>
        <v>0</v>
      </c>
      <c r="I221" s="106">
        <f>ROUND(F221*AP221,2)</f>
        <v>0</v>
      </c>
      <c r="J221" s="106">
        <f>ROUND(F221*G221,2)</f>
        <v>0</v>
      </c>
      <c r="K221" s="108" t="s">
        <v>425</v>
      </c>
      <c r="Z221" s="11">
        <f>ROUND(IF(AQ221="5",BJ221,0),2)</f>
        <v>0</v>
      </c>
      <c r="AB221" s="11">
        <f>ROUND(IF(AQ221="1",BH221,0),2)</f>
        <v>0</v>
      </c>
      <c r="AC221" s="11">
        <f>ROUND(IF(AQ221="1",BI221,0),2)</f>
        <v>0</v>
      </c>
      <c r="AD221" s="11">
        <f>ROUND(IF(AQ221="7",BH221,0),2)</f>
        <v>0</v>
      </c>
      <c r="AE221" s="11">
        <f>ROUND(IF(AQ221="7",BI221,0),2)</f>
        <v>0</v>
      </c>
      <c r="AF221" s="11">
        <f>ROUND(IF(AQ221="2",BH221,0),2)</f>
        <v>0</v>
      </c>
      <c r="AG221" s="11">
        <f>ROUND(IF(AQ221="2",BI221,0),2)</f>
        <v>0</v>
      </c>
      <c r="AH221" s="11">
        <f>ROUND(IF(AQ221="0",BJ221,0),2)</f>
        <v>0</v>
      </c>
      <c r="AI221" s="6" t="s">
        <v>462</v>
      </c>
      <c r="AJ221" s="11">
        <f>IF(AN221=0,J221,0)</f>
        <v>0</v>
      </c>
      <c r="AK221" s="11">
        <f>IF(AN221=12,J221,0)</f>
        <v>0</v>
      </c>
      <c r="AL221" s="11">
        <f>IF(AN221=21,J221,0)</f>
        <v>0</v>
      </c>
      <c r="AN221" s="11">
        <v>21</v>
      </c>
      <c r="AO221" s="11">
        <f>G221*0</f>
        <v>0</v>
      </c>
      <c r="AP221" s="11">
        <f>G221*(1-0)</f>
        <v>0</v>
      </c>
      <c r="AQ221" s="12" t="s">
        <v>57</v>
      </c>
      <c r="AV221" s="11">
        <f>ROUND(AW221+AX221,2)</f>
        <v>0</v>
      </c>
      <c r="AW221" s="11">
        <f>ROUND(F221*AO221,2)</f>
        <v>0</v>
      </c>
      <c r="AX221" s="11">
        <f>ROUND(F221*AP221,2)</f>
        <v>0</v>
      </c>
      <c r="AY221" s="12" t="s">
        <v>426</v>
      </c>
      <c r="AZ221" s="12" t="s">
        <v>637</v>
      </c>
      <c r="BA221" s="6" t="s">
        <v>465</v>
      </c>
      <c r="BC221" s="11">
        <f>AW221+AX221</f>
        <v>0</v>
      </c>
      <c r="BD221" s="11">
        <f>G221/(100-BE221)*100</f>
        <v>0</v>
      </c>
      <c r="BE221" s="11">
        <v>0</v>
      </c>
      <c r="BF221" s="11">
        <f>221</f>
        <v>221</v>
      </c>
      <c r="BH221" s="11">
        <f>F221*AO221</f>
        <v>0</v>
      </c>
      <c r="BI221" s="11">
        <f>F221*AP221</f>
        <v>0</v>
      </c>
      <c r="BJ221" s="11">
        <f>F221*G221</f>
        <v>0</v>
      </c>
      <c r="BK221" s="12" t="s">
        <v>64</v>
      </c>
      <c r="BL221" s="11"/>
      <c r="BW221" s="11">
        <v>21</v>
      </c>
      <c r="BX221" s="3" t="s">
        <v>423</v>
      </c>
    </row>
    <row r="222" spans="1:76">
      <c r="A222" s="29" t="s">
        <v>638</v>
      </c>
      <c r="B222" s="2" t="s">
        <v>429</v>
      </c>
      <c r="C222" s="40" t="s">
        <v>430</v>
      </c>
      <c r="D222" s="38"/>
      <c r="E222" s="2" t="s">
        <v>254</v>
      </c>
      <c r="F222" s="11">
        <v>1</v>
      </c>
      <c r="G222" s="109">
        <v>0</v>
      </c>
      <c r="H222" s="11">
        <f>ROUND(F222*AO222,2)</f>
        <v>0</v>
      </c>
      <c r="I222" s="11">
        <f>ROUND(F222*AP222,2)</f>
        <v>0</v>
      </c>
      <c r="J222" s="11">
        <f>ROUND(F222*G222,2)</f>
        <v>0</v>
      </c>
      <c r="K222" s="108" t="s">
        <v>425</v>
      </c>
      <c r="Z222" s="11">
        <f>ROUND(IF(AQ222="5",BJ222,0),2)</f>
        <v>0</v>
      </c>
      <c r="AB222" s="11">
        <f>ROUND(IF(AQ222="1",BH222,0),2)</f>
        <v>0</v>
      </c>
      <c r="AC222" s="11">
        <f>ROUND(IF(AQ222="1",BI222,0),2)</f>
        <v>0</v>
      </c>
      <c r="AD222" s="11">
        <f>ROUND(IF(AQ222="7",BH222,0),2)</f>
        <v>0</v>
      </c>
      <c r="AE222" s="11">
        <f>ROUND(IF(AQ222="7",BI222,0),2)</f>
        <v>0</v>
      </c>
      <c r="AF222" s="11">
        <f>ROUND(IF(AQ222="2",BH222,0),2)</f>
        <v>0</v>
      </c>
      <c r="AG222" s="11">
        <f>ROUND(IF(AQ222="2",BI222,0),2)</f>
        <v>0</v>
      </c>
      <c r="AH222" s="11">
        <f>ROUND(IF(AQ222="0",BJ222,0),2)</f>
        <v>0</v>
      </c>
      <c r="AI222" s="6" t="s">
        <v>462</v>
      </c>
      <c r="AJ222" s="11">
        <f>IF(AN222=0,J222,0)</f>
        <v>0</v>
      </c>
      <c r="AK222" s="11">
        <f>IF(AN222=12,J222,0)</f>
        <v>0</v>
      </c>
      <c r="AL222" s="11">
        <f>IF(AN222=21,J222,0)</f>
        <v>0</v>
      </c>
      <c r="AN222" s="11">
        <v>21</v>
      </c>
      <c r="AO222" s="11">
        <f>G222*0</f>
        <v>0</v>
      </c>
      <c r="AP222" s="11">
        <f>G222*(1-0)</f>
        <v>0</v>
      </c>
      <c r="AQ222" s="12" t="s">
        <v>57</v>
      </c>
      <c r="AV222" s="11">
        <f>ROUND(AW222+AX222,2)</f>
        <v>0</v>
      </c>
      <c r="AW222" s="11">
        <f>ROUND(F222*AO222,2)</f>
        <v>0</v>
      </c>
      <c r="AX222" s="11">
        <f>ROUND(F222*AP222,2)</f>
        <v>0</v>
      </c>
      <c r="AY222" s="12" t="s">
        <v>426</v>
      </c>
      <c r="AZ222" s="12" t="s">
        <v>637</v>
      </c>
      <c r="BA222" s="6" t="s">
        <v>465</v>
      </c>
      <c r="BC222" s="11">
        <f>AW222+AX222</f>
        <v>0</v>
      </c>
      <c r="BD222" s="11">
        <f>G222/(100-BE222)*100</f>
        <v>0</v>
      </c>
      <c r="BE222" s="11">
        <v>0</v>
      </c>
      <c r="BF222" s="11">
        <f>222</f>
        <v>222</v>
      </c>
      <c r="BH222" s="11">
        <f>F222*AO222</f>
        <v>0</v>
      </c>
      <c r="BI222" s="11">
        <f>F222*AP222</f>
        <v>0</v>
      </c>
      <c r="BJ222" s="11">
        <f>F222*G222</f>
        <v>0</v>
      </c>
      <c r="BK222" s="12" t="s">
        <v>64</v>
      </c>
      <c r="BL222" s="11"/>
      <c r="BW222" s="11">
        <v>21</v>
      </c>
      <c r="BX222" s="3" t="s">
        <v>430</v>
      </c>
    </row>
    <row r="223" spans="1:76">
      <c r="A223" s="29" t="s">
        <v>639</v>
      </c>
      <c r="B223" s="2" t="s">
        <v>432</v>
      </c>
      <c r="C223" s="40" t="s">
        <v>433</v>
      </c>
      <c r="D223" s="38"/>
      <c r="E223" s="2" t="s">
        <v>254</v>
      </c>
      <c r="F223" s="11">
        <v>1</v>
      </c>
      <c r="G223" s="109">
        <v>0</v>
      </c>
      <c r="H223" s="11">
        <f>ROUND(F223*AO223,2)</f>
        <v>0</v>
      </c>
      <c r="I223" s="11">
        <f>ROUND(F223*AP223,2)</f>
        <v>0</v>
      </c>
      <c r="J223" s="11">
        <f>ROUND(F223*G223,2)</f>
        <v>0</v>
      </c>
      <c r="K223" s="108" t="s">
        <v>425</v>
      </c>
      <c r="Z223" s="11">
        <f>ROUND(IF(AQ223="5",BJ223,0),2)</f>
        <v>0</v>
      </c>
      <c r="AB223" s="11">
        <f>ROUND(IF(AQ223="1",BH223,0),2)</f>
        <v>0</v>
      </c>
      <c r="AC223" s="11">
        <f>ROUND(IF(AQ223="1",BI223,0),2)</f>
        <v>0</v>
      </c>
      <c r="AD223" s="11">
        <f>ROUND(IF(AQ223="7",BH223,0),2)</f>
        <v>0</v>
      </c>
      <c r="AE223" s="11">
        <f>ROUND(IF(AQ223="7",BI223,0),2)</f>
        <v>0</v>
      </c>
      <c r="AF223" s="11">
        <f>ROUND(IF(AQ223="2",BH223,0),2)</f>
        <v>0</v>
      </c>
      <c r="AG223" s="11">
        <f>ROUND(IF(AQ223="2",BI223,0),2)</f>
        <v>0</v>
      </c>
      <c r="AH223" s="11">
        <f>ROUND(IF(AQ223="0",BJ223,0),2)</f>
        <v>0</v>
      </c>
      <c r="AI223" s="6" t="s">
        <v>462</v>
      </c>
      <c r="AJ223" s="11">
        <f>IF(AN223=0,J223,0)</f>
        <v>0</v>
      </c>
      <c r="AK223" s="11">
        <f>IF(AN223=12,J223,0)</f>
        <v>0</v>
      </c>
      <c r="AL223" s="11">
        <f>IF(AN223=21,J223,0)</f>
        <v>0</v>
      </c>
      <c r="AN223" s="11">
        <v>21</v>
      </c>
      <c r="AO223" s="11">
        <f>G223*0</f>
        <v>0</v>
      </c>
      <c r="AP223" s="11">
        <f>G223*(1-0)</f>
        <v>0</v>
      </c>
      <c r="AQ223" s="12" t="s">
        <v>57</v>
      </c>
      <c r="AV223" s="11">
        <f>ROUND(AW223+AX223,2)</f>
        <v>0</v>
      </c>
      <c r="AW223" s="11">
        <f>ROUND(F223*AO223,2)</f>
        <v>0</v>
      </c>
      <c r="AX223" s="11">
        <f>ROUND(F223*AP223,2)</f>
        <v>0</v>
      </c>
      <c r="AY223" s="12" t="s">
        <v>426</v>
      </c>
      <c r="AZ223" s="12" t="s">
        <v>637</v>
      </c>
      <c r="BA223" s="6" t="s">
        <v>465</v>
      </c>
      <c r="BC223" s="11">
        <f>AW223+AX223</f>
        <v>0</v>
      </c>
      <c r="BD223" s="11">
        <f>G223/(100-BE223)*100</f>
        <v>0</v>
      </c>
      <c r="BE223" s="11">
        <v>0</v>
      </c>
      <c r="BF223" s="11">
        <f>223</f>
        <v>223</v>
      </c>
      <c r="BH223" s="11">
        <f>F223*AO223</f>
        <v>0</v>
      </c>
      <c r="BI223" s="11">
        <f>F223*AP223</f>
        <v>0</v>
      </c>
      <c r="BJ223" s="11">
        <f>F223*G223</f>
        <v>0</v>
      </c>
      <c r="BK223" s="12" t="s">
        <v>64</v>
      </c>
      <c r="BL223" s="11"/>
      <c r="BW223" s="11">
        <v>21</v>
      </c>
      <c r="BX223" s="3" t="s">
        <v>433</v>
      </c>
    </row>
    <row r="224" spans="1:76">
      <c r="A224" s="29" t="s">
        <v>640</v>
      </c>
      <c r="B224" s="2" t="s">
        <v>435</v>
      </c>
      <c r="C224" s="40" t="s">
        <v>436</v>
      </c>
      <c r="D224" s="38"/>
      <c r="E224" s="2" t="s">
        <v>424</v>
      </c>
      <c r="F224" s="11">
        <v>4</v>
      </c>
      <c r="G224" s="109">
        <v>0</v>
      </c>
      <c r="H224" s="11">
        <f>ROUND(F224*AO224,2)</f>
        <v>0</v>
      </c>
      <c r="I224" s="11">
        <f>ROUND(F224*AP224,2)</f>
        <v>0</v>
      </c>
      <c r="J224" s="11">
        <f>ROUND(F224*G224,2)</f>
        <v>0</v>
      </c>
      <c r="K224" s="108" t="s">
        <v>425</v>
      </c>
      <c r="Z224" s="11">
        <f>ROUND(IF(AQ224="5",BJ224,0),2)</f>
        <v>0</v>
      </c>
      <c r="AB224" s="11">
        <f>ROUND(IF(AQ224="1",BH224,0),2)</f>
        <v>0</v>
      </c>
      <c r="AC224" s="11">
        <f>ROUND(IF(AQ224="1",BI224,0),2)</f>
        <v>0</v>
      </c>
      <c r="AD224" s="11">
        <f>ROUND(IF(AQ224="7",BH224,0),2)</f>
        <v>0</v>
      </c>
      <c r="AE224" s="11">
        <f>ROUND(IF(AQ224="7",BI224,0),2)</f>
        <v>0</v>
      </c>
      <c r="AF224" s="11">
        <f>ROUND(IF(AQ224="2",BH224,0),2)</f>
        <v>0</v>
      </c>
      <c r="AG224" s="11">
        <f>ROUND(IF(AQ224="2",BI224,0),2)</f>
        <v>0</v>
      </c>
      <c r="AH224" s="11">
        <f>ROUND(IF(AQ224="0",BJ224,0),2)</f>
        <v>0</v>
      </c>
      <c r="AI224" s="6" t="s">
        <v>462</v>
      </c>
      <c r="AJ224" s="11">
        <f>IF(AN224=0,J224,0)</f>
        <v>0</v>
      </c>
      <c r="AK224" s="11">
        <f>IF(AN224=12,J224,0)</f>
        <v>0</v>
      </c>
      <c r="AL224" s="11">
        <f>IF(AN224=21,J224,0)</f>
        <v>0</v>
      </c>
      <c r="AN224" s="11">
        <v>21</v>
      </c>
      <c r="AO224" s="11">
        <f>G224*0</f>
        <v>0</v>
      </c>
      <c r="AP224" s="11">
        <f>G224*(1-0)</f>
        <v>0</v>
      </c>
      <c r="AQ224" s="12" t="s">
        <v>57</v>
      </c>
      <c r="AV224" s="11">
        <f>ROUND(AW224+AX224,2)</f>
        <v>0</v>
      </c>
      <c r="AW224" s="11">
        <f>ROUND(F224*AO224,2)</f>
        <v>0</v>
      </c>
      <c r="AX224" s="11">
        <f>ROUND(F224*AP224,2)</f>
        <v>0</v>
      </c>
      <c r="AY224" s="12" t="s">
        <v>426</v>
      </c>
      <c r="AZ224" s="12" t="s">
        <v>637</v>
      </c>
      <c r="BA224" s="6" t="s">
        <v>465</v>
      </c>
      <c r="BC224" s="11">
        <f>AW224+AX224</f>
        <v>0</v>
      </c>
      <c r="BD224" s="11">
        <f>G224/(100-BE224)*100</f>
        <v>0</v>
      </c>
      <c r="BE224" s="11">
        <v>0</v>
      </c>
      <c r="BF224" s="11">
        <f>224</f>
        <v>224</v>
      </c>
      <c r="BH224" s="11">
        <f>F224*AO224</f>
        <v>0</v>
      </c>
      <c r="BI224" s="11">
        <f>F224*AP224</f>
        <v>0</v>
      </c>
      <c r="BJ224" s="11">
        <f>F224*G224</f>
        <v>0</v>
      </c>
      <c r="BK224" s="12" t="s">
        <v>64</v>
      </c>
      <c r="BL224" s="11"/>
      <c r="BW224" s="11">
        <v>21</v>
      </c>
      <c r="BX224" s="3" t="s">
        <v>436</v>
      </c>
    </row>
    <row r="225" spans="1:76">
      <c r="A225" s="29" t="s">
        <v>641</v>
      </c>
      <c r="B225" s="30" t="s">
        <v>438</v>
      </c>
      <c r="C225" s="105" t="s">
        <v>439</v>
      </c>
      <c r="D225" s="70"/>
      <c r="E225" s="30" t="s">
        <v>254</v>
      </c>
      <c r="F225" s="106">
        <v>1</v>
      </c>
      <c r="G225" s="107">
        <v>0</v>
      </c>
      <c r="H225" s="106">
        <f>ROUND(F225*AO225,2)</f>
        <v>0</v>
      </c>
      <c r="I225" s="106">
        <f>ROUND(F225*AP225,2)</f>
        <v>0</v>
      </c>
      <c r="J225" s="106">
        <f>ROUND(F225*G225,2)</f>
        <v>0</v>
      </c>
      <c r="K225" s="108" t="s">
        <v>425</v>
      </c>
      <c r="Z225" s="11">
        <f>ROUND(IF(AQ225="5",BJ225,0),2)</f>
        <v>0</v>
      </c>
      <c r="AB225" s="11">
        <f>ROUND(IF(AQ225="1",BH225,0),2)</f>
        <v>0</v>
      </c>
      <c r="AC225" s="11">
        <f>ROUND(IF(AQ225="1",BI225,0),2)</f>
        <v>0</v>
      </c>
      <c r="AD225" s="11">
        <f>ROUND(IF(AQ225="7",BH225,0),2)</f>
        <v>0</v>
      </c>
      <c r="AE225" s="11">
        <f>ROUND(IF(AQ225="7",BI225,0),2)</f>
        <v>0</v>
      </c>
      <c r="AF225" s="11">
        <f>ROUND(IF(AQ225="2",BH225,0),2)</f>
        <v>0</v>
      </c>
      <c r="AG225" s="11">
        <f>ROUND(IF(AQ225="2",BI225,0),2)</f>
        <v>0</v>
      </c>
      <c r="AH225" s="11">
        <f>ROUND(IF(AQ225="0",BJ225,0),2)</f>
        <v>0</v>
      </c>
      <c r="AI225" s="6" t="s">
        <v>462</v>
      </c>
      <c r="AJ225" s="11">
        <f>IF(AN225=0,J225,0)</f>
        <v>0</v>
      </c>
      <c r="AK225" s="11">
        <f>IF(AN225=12,J225,0)</f>
        <v>0</v>
      </c>
      <c r="AL225" s="11">
        <f>IF(AN225=21,J225,0)</f>
        <v>0</v>
      </c>
      <c r="AN225" s="11">
        <v>21</v>
      </c>
      <c r="AO225" s="11">
        <f>G225*0</f>
        <v>0</v>
      </c>
      <c r="AP225" s="11">
        <f>G225*(1-0)</f>
        <v>0</v>
      </c>
      <c r="AQ225" s="12" t="s">
        <v>57</v>
      </c>
      <c r="AV225" s="11">
        <f>ROUND(AW225+AX225,2)</f>
        <v>0</v>
      </c>
      <c r="AW225" s="11">
        <f>ROUND(F225*AO225,2)</f>
        <v>0</v>
      </c>
      <c r="AX225" s="11">
        <f>ROUND(F225*AP225,2)</f>
        <v>0</v>
      </c>
      <c r="AY225" s="12" t="s">
        <v>426</v>
      </c>
      <c r="AZ225" s="12" t="s">
        <v>637</v>
      </c>
      <c r="BA225" s="6" t="s">
        <v>465</v>
      </c>
      <c r="BC225" s="11">
        <f>AW225+AX225</f>
        <v>0</v>
      </c>
      <c r="BD225" s="11">
        <f>G225/(100-BE225)*100</f>
        <v>0</v>
      </c>
      <c r="BE225" s="11">
        <v>0</v>
      </c>
      <c r="BF225" s="11">
        <f>225</f>
        <v>225</v>
      </c>
      <c r="BH225" s="11">
        <f>F225*AO225</f>
        <v>0</v>
      </c>
      <c r="BI225" s="11">
        <f>F225*AP225</f>
        <v>0</v>
      </c>
      <c r="BJ225" s="11">
        <f>F225*G225</f>
        <v>0</v>
      </c>
      <c r="BK225" s="12" t="s">
        <v>64</v>
      </c>
      <c r="BL225" s="11"/>
      <c r="BW225" s="11">
        <v>21</v>
      </c>
      <c r="BX225" s="3" t="s">
        <v>439</v>
      </c>
    </row>
    <row r="226" spans="1:76">
      <c r="A226" s="15" t="s">
        <v>52</v>
      </c>
      <c r="B226" s="110" t="s">
        <v>440</v>
      </c>
      <c r="C226" s="111" t="s">
        <v>441</v>
      </c>
      <c r="D226" s="112"/>
      <c r="E226" s="113" t="s">
        <v>4</v>
      </c>
      <c r="F226" s="113" t="s">
        <v>4</v>
      </c>
      <c r="G226" s="97" t="s">
        <v>4</v>
      </c>
      <c r="H226" s="114">
        <f>H227</f>
        <v>0</v>
      </c>
      <c r="I226" s="114">
        <f>I227</f>
        <v>0</v>
      </c>
      <c r="J226" s="114">
        <f>J227</f>
        <v>0</v>
      </c>
      <c r="K226" s="16" t="s">
        <v>52</v>
      </c>
      <c r="AI226" s="6" t="s">
        <v>462</v>
      </c>
    </row>
    <row r="227" spans="1:76">
      <c r="A227" s="15" t="s">
        <v>52</v>
      </c>
      <c r="B227" s="110" t="s">
        <v>442</v>
      </c>
      <c r="C227" s="111" t="s">
        <v>52</v>
      </c>
      <c r="D227" s="112"/>
      <c r="E227" s="113" t="s">
        <v>4</v>
      </c>
      <c r="F227" s="113" t="s">
        <v>4</v>
      </c>
      <c r="G227" s="97" t="s">
        <v>4</v>
      </c>
      <c r="H227" s="114">
        <f>SUM(H228:H230)</f>
        <v>0</v>
      </c>
      <c r="I227" s="114">
        <f>SUM(I228:I230)</f>
        <v>0</v>
      </c>
      <c r="J227" s="114">
        <f>SUM(J228:J230)</f>
        <v>0</v>
      </c>
      <c r="K227" s="16" t="s">
        <v>52</v>
      </c>
      <c r="AI227" s="6" t="s">
        <v>462</v>
      </c>
      <c r="AS227" s="1">
        <f>SUM(AJ228:AJ230)</f>
        <v>0</v>
      </c>
      <c r="AT227" s="1">
        <f>SUM(AK228:AK230)</f>
        <v>0</v>
      </c>
      <c r="AU227" s="1">
        <f>SUM(AL228:AL230)</f>
        <v>0</v>
      </c>
    </row>
    <row r="228" spans="1:76">
      <c r="A228" s="29" t="s">
        <v>642</v>
      </c>
      <c r="B228" s="30" t="s">
        <v>452</v>
      </c>
      <c r="C228" s="105" t="s">
        <v>453</v>
      </c>
      <c r="D228" s="70"/>
      <c r="E228" s="30" t="s">
        <v>254</v>
      </c>
      <c r="F228" s="106">
        <v>1</v>
      </c>
      <c r="G228" s="107">
        <v>0</v>
      </c>
      <c r="H228" s="106">
        <f>ROUND(F228*AO228,2)</f>
        <v>0</v>
      </c>
      <c r="I228" s="106">
        <f>ROUND(F228*AP228,2)</f>
        <v>0</v>
      </c>
      <c r="J228" s="106">
        <f>ROUND(F228*G228,2)</f>
        <v>0</v>
      </c>
      <c r="K228" s="108" t="s">
        <v>52</v>
      </c>
      <c r="Z228" s="11">
        <f>ROUND(IF(AQ228="5",BJ228,0),2)</f>
        <v>0</v>
      </c>
      <c r="AB228" s="11">
        <f>ROUND(IF(AQ228="1",BH228,0),2)</f>
        <v>0</v>
      </c>
      <c r="AC228" s="11">
        <f>ROUND(IF(AQ228="1",BI228,0),2)</f>
        <v>0</v>
      </c>
      <c r="AD228" s="11">
        <f>ROUND(IF(AQ228="7",BH228,0),2)</f>
        <v>0</v>
      </c>
      <c r="AE228" s="11">
        <f>ROUND(IF(AQ228="7",BI228,0),2)</f>
        <v>0</v>
      </c>
      <c r="AF228" s="11">
        <f>ROUND(IF(AQ228="2",BH228,0),2)</f>
        <v>0</v>
      </c>
      <c r="AG228" s="11">
        <f>ROUND(IF(AQ228="2",BI228,0),2)</f>
        <v>0</v>
      </c>
      <c r="AH228" s="11">
        <f>ROUND(IF(AQ228="0",BJ228,0),2)</f>
        <v>0</v>
      </c>
      <c r="AI228" s="6" t="s">
        <v>462</v>
      </c>
      <c r="AJ228" s="11">
        <f>IF(AN228=0,J228,0)</f>
        <v>0</v>
      </c>
      <c r="AK228" s="11">
        <f>IF(AN228=12,J228,0)</f>
        <v>0</v>
      </c>
      <c r="AL228" s="11">
        <f>IF(AN228=21,J228,0)</f>
        <v>0</v>
      </c>
      <c r="AN228" s="11">
        <v>21</v>
      </c>
      <c r="AO228" s="11">
        <f>G228*0</f>
        <v>0</v>
      </c>
      <c r="AP228" s="11">
        <f>G228*(1-0)</f>
        <v>0</v>
      </c>
      <c r="AQ228" s="12" t="s">
        <v>390</v>
      </c>
      <c r="AV228" s="11">
        <f>ROUND(AW228+AX228,2)</f>
        <v>0</v>
      </c>
      <c r="AW228" s="11">
        <f>ROUND(F228*AO228,2)</f>
        <v>0</v>
      </c>
      <c r="AX228" s="11">
        <f>ROUND(F228*AP228,2)</f>
        <v>0</v>
      </c>
      <c r="AY228" s="12" t="s">
        <v>446</v>
      </c>
      <c r="AZ228" s="12" t="s">
        <v>643</v>
      </c>
      <c r="BA228" s="6" t="s">
        <v>465</v>
      </c>
      <c r="BC228" s="11">
        <f>AW228+AX228</f>
        <v>0</v>
      </c>
      <c r="BD228" s="11">
        <f>G228/(100-BE228)*100</f>
        <v>0</v>
      </c>
      <c r="BE228" s="11">
        <v>0</v>
      </c>
      <c r="BF228" s="11">
        <f>228</f>
        <v>228</v>
      </c>
      <c r="BH228" s="11">
        <f>F228*AO228</f>
        <v>0</v>
      </c>
      <c r="BI228" s="11">
        <f>F228*AP228</f>
        <v>0</v>
      </c>
      <c r="BJ228" s="11">
        <f>F228*G228</f>
        <v>0</v>
      </c>
      <c r="BK228" s="12" t="s">
        <v>64</v>
      </c>
      <c r="BL228" s="11">
        <v>5</v>
      </c>
      <c r="BV228" s="11">
        <f>F228*G228</f>
        <v>0</v>
      </c>
      <c r="BW228" s="11">
        <v>21</v>
      </c>
      <c r="BX228" s="3" t="s">
        <v>453</v>
      </c>
    </row>
    <row r="229" spans="1:76">
      <c r="A229" s="29" t="s">
        <v>644</v>
      </c>
      <c r="B229" s="2" t="s">
        <v>455</v>
      </c>
      <c r="C229" s="40" t="s">
        <v>456</v>
      </c>
      <c r="D229" s="38"/>
      <c r="E229" s="2" t="s">
        <v>254</v>
      </c>
      <c r="F229" s="11">
        <v>1</v>
      </c>
      <c r="G229" s="109">
        <v>0</v>
      </c>
      <c r="H229" s="11">
        <f>ROUND(F229*AO229,2)</f>
        <v>0</v>
      </c>
      <c r="I229" s="11">
        <f>ROUND(F229*AP229,2)</f>
        <v>0</v>
      </c>
      <c r="J229" s="11">
        <f>ROUND(F229*G229,2)</f>
        <v>0</v>
      </c>
      <c r="K229" s="108" t="s">
        <v>52</v>
      </c>
      <c r="Z229" s="11">
        <f>ROUND(IF(AQ229="5",BJ229,0),2)</f>
        <v>0</v>
      </c>
      <c r="AB229" s="11">
        <f>ROUND(IF(AQ229="1",BH229,0),2)</f>
        <v>0</v>
      </c>
      <c r="AC229" s="11">
        <f>ROUND(IF(AQ229="1",BI229,0),2)</f>
        <v>0</v>
      </c>
      <c r="AD229" s="11">
        <f>ROUND(IF(AQ229="7",BH229,0),2)</f>
        <v>0</v>
      </c>
      <c r="AE229" s="11">
        <f>ROUND(IF(AQ229="7",BI229,0),2)</f>
        <v>0</v>
      </c>
      <c r="AF229" s="11">
        <f>ROUND(IF(AQ229="2",BH229,0),2)</f>
        <v>0</v>
      </c>
      <c r="AG229" s="11">
        <f>ROUND(IF(AQ229="2",BI229,0),2)</f>
        <v>0</v>
      </c>
      <c r="AH229" s="11">
        <f>ROUND(IF(AQ229="0",BJ229,0),2)</f>
        <v>0</v>
      </c>
      <c r="AI229" s="6" t="s">
        <v>462</v>
      </c>
      <c r="AJ229" s="11">
        <f>IF(AN229=0,J229,0)</f>
        <v>0</v>
      </c>
      <c r="AK229" s="11">
        <f>IF(AN229=12,J229,0)</f>
        <v>0</v>
      </c>
      <c r="AL229" s="11">
        <f>IF(AN229=21,J229,0)</f>
        <v>0</v>
      </c>
      <c r="AN229" s="11">
        <v>21</v>
      </c>
      <c r="AO229" s="11">
        <f>G229*0</f>
        <v>0</v>
      </c>
      <c r="AP229" s="11">
        <f>G229*(1-0)</f>
        <v>0</v>
      </c>
      <c r="AQ229" s="12" t="s">
        <v>390</v>
      </c>
      <c r="AV229" s="11">
        <f>ROUND(AW229+AX229,2)</f>
        <v>0</v>
      </c>
      <c r="AW229" s="11">
        <f>ROUND(F229*AO229,2)</f>
        <v>0</v>
      </c>
      <c r="AX229" s="11">
        <f>ROUND(F229*AP229,2)</f>
        <v>0</v>
      </c>
      <c r="AY229" s="12" t="s">
        <v>446</v>
      </c>
      <c r="AZ229" s="12" t="s">
        <v>643</v>
      </c>
      <c r="BA229" s="6" t="s">
        <v>465</v>
      </c>
      <c r="BC229" s="11">
        <f>AW229+AX229</f>
        <v>0</v>
      </c>
      <c r="BD229" s="11">
        <f>G229/(100-BE229)*100</f>
        <v>0</v>
      </c>
      <c r="BE229" s="11">
        <v>0</v>
      </c>
      <c r="BF229" s="11">
        <f>229</f>
        <v>229</v>
      </c>
      <c r="BH229" s="11">
        <f>F229*AO229</f>
        <v>0</v>
      </c>
      <c r="BI229" s="11">
        <f>F229*AP229</f>
        <v>0</v>
      </c>
      <c r="BJ229" s="11">
        <f>F229*G229</f>
        <v>0</v>
      </c>
      <c r="BK229" s="12" t="s">
        <v>64</v>
      </c>
      <c r="BL229" s="11">
        <v>5</v>
      </c>
      <c r="BV229" s="11">
        <f>F229*G229</f>
        <v>0</v>
      </c>
      <c r="BW229" s="11">
        <v>21</v>
      </c>
      <c r="BX229" s="3" t="s">
        <v>456</v>
      </c>
    </row>
    <row r="230" spans="1:76">
      <c r="A230" s="26" t="s">
        <v>645</v>
      </c>
      <c r="B230" s="27" t="s">
        <v>458</v>
      </c>
      <c r="C230" s="115" t="s">
        <v>459</v>
      </c>
      <c r="D230" s="67"/>
      <c r="E230" s="27" t="s">
        <v>254</v>
      </c>
      <c r="F230" s="116">
        <v>1</v>
      </c>
      <c r="G230" s="117">
        <v>0</v>
      </c>
      <c r="H230" s="116">
        <f>ROUND(F230*AO230,2)</f>
        <v>0</v>
      </c>
      <c r="I230" s="116">
        <f>ROUND(F230*AP230,2)</f>
        <v>0</v>
      </c>
      <c r="J230" s="116">
        <f>ROUND(F230*G230,2)</f>
        <v>0</v>
      </c>
      <c r="K230" s="118" t="s">
        <v>52</v>
      </c>
      <c r="Z230" s="11">
        <f>ROUND(IF(AQ230="5",BJ230,0),2)</f>
        <v>0</v>
      </c>
      <c r="AB230" s="11">
        <f>ROUND(IF(AQ230="1",BH230,0),2)</f>
        <v>0</v>
      </c>
      <c r="AC230" s="11">
        <f>ROUND(IF(AQ230="1",BI230,0),2)</f>
        <v>0</v>
      </c>
      <c r="AD230" s="11">
        <f>ROUND(IF(AQ230="7",BH230,0),2)</f>
        <v>0</v>
      </c>
      <c r="AE230" s="11">
        <f>ROUND(IF(AQ230="7",BI230,0),2)</f>
        <v>0</v>
      </c>
      <c r="AF230" s="11">
        <f>ROUND(IF(AQ230="2",BH230,0),2)</f>
        <v>0</v>
      </c>
      <c r="AG230" s="11">
        <f>ROUND(IF(AQ230="2",BI230,0),2)</f>
        <v>0</v>
      </c>
      <c r="AH230" s="11">
        <f>ROUND(IF(AQ230="0",BJ230,0),2)</f>
        <v>0</v>
      </c>
      <c r="AI230" s="6" t="s">
        <v>462</v>
      </c>
      <c r="AJ230" s="11">
        <f>IF(AN230=0,J230,0)</f>
        <v>0</v>
      </c>
      <c r="AK230" s="11">
        <f>IF(AN230=12,J230,0)</f>
        <v>0</v>
      </c>
      <c r="AL230" s="11">
        <f>IF(AN230=21,J230,0)</f>
        <v>0</v>
      </c>
      <c r="AN230" s="11">
        <v>21</v>
      </c>
      <c r="AO230" s="11">
        <f>G230*1</f>
        <v>0</v>
      </c>
      <c r="AP230" s="11">
        <f>G230*(1-1)</f>
        <v>0</v>
      </c>
      <c r="AQ230" s="12" t="s">
        <v>390</v>
      </c>
      <c r="AV230" s="11">
        <f>ROUND(AW230+AX230,2)</f>
        <v>0</v>
      </c>
      <c r="AW230" s="11">
        <f>ROUND(F230*AO230,2)</f>
        <v>0</v>
      </c>
      <c r="AX230" s="11">
        <f>ROUND(F230*AP230,2)</f>
        <v>0</v>
      </c>
      <c r="AY230" s="12" t="s">
        <v>446</v>
      </c>
      <c r="AZ230" s="12" t="s">
        <v>643</v>
      </c>
      <c r="BA230" s="6" t="s">
        <v>465</v>
      </c>
      <c r="BC230" s="11">
        <f>AW230+AX230</f>
        <v>0</v>
      </c>
      <c r="BD230" s="11">
        <f>G230/(100-BE230)*100</f>
        <v>0</v>
      </c>
      <c r="BE230" s="11">
        <v>0</v>
      </c>
      <c r="BF230" s="11">
        <f>230</f>
        <v>230</v>
      </c>
      <c r="BH230" s="11">
        <f>F230*AO230</f>
        <v>0</v>
      </c>
      <c r="BI230" s="11">
        <f>F230*AP230</f>
        <v>0</v>
      </c>
      <c r="BJ230" s="11">
        <f>F230*G230</f>
        <v>0</v>
      </c>
      <c r="BK230" s="12" t="s">
        <v>64</v>
      </c>
      <c r="BL230" s="11">
        <v>5</v>
      </c>
      <c r="BV230" s="11">
        <f>F230*G230</f>
        <v>0</v>
      </c>
      <c r="BW230" s="11">
        <v>21</v>
      </c>
      <c r="BX230" s="3" t="s">
        <v>459</v>
      </c>
    </row>
    <row r="231" spans="1:76">
      <c r="H231" s="119" t="s">
        <v>646</v>
      </c>
      <c r="I231" s="119"/>
      <c r="J231" s="120">
        <f>ROUND(J13+J28+J35+J42+J50+J74+J95+J106+J118+J126+J128+J130+J137+J145+J155+J166+J172+J181+J190+J209+J213+J217+J220+J227,2)</f>
        <v>0</v>
      </c>
    </row>
    <row r="232" spans="1:76">
      <c r="A232" s="17" t="s">
        <v>647</v>
      </c>
    </row>
    <row r="233" spans="1:76" ht="12.75" customHeight="1">
      <c r="A233" s="40" t="s">
        <v>52</v>
      </c>
      <c r="B233" s="38"/>
      <c r="C233" s="38"/>
      <c r="D233" s="38"/>
      <c r="E233" s="38"/>
      <c r="F233" s="38"/>
      <c r="G233" s="38"/>
      <c r="H233" s="38"/>
      <c r="I233" s="38"/>
      <c r="J233" s="38"/>
      <c r="K233" s="38"/>
    </row>
  </sheetData>
  <sheetProtection password="C7EB" sheet="1"/>
  <mergeCells count="249">
    <mergeCell ref="C230:D230"/>
    <mergeCell ref="H231:I231"/>
    <mergeCell ref="A233:K233"/>
    <mergeCell ref="C225:D225"/>
    <mergeCell ref="C226:D226"/>
    <mergeCell ref="C227:D227"/>
    <mergeCell ref="C228:D228"/>
    <mergeCell ref="C229:D22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00:D200"/>
    <mergeCell ref="C201:D201"/>
    <mergeCell ref="C202:D202"/>
    <mergeCell ref="C203:D203"/>
    <mergeCell ref="C204:D204"/>
    <mergeCell ref="C195:D195"/>
    <mergeCell ref="C196:D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121" t="s">
        <v>648</v>
      </c>
      <c r="B1" s="74"/>
      <c r="C1" s="74"/>
      <c r="D1" s="74"/>
      <c r="E1" s="74"/>
      <c r="F1" s="74"/>
      <c r="G1" s="74"/>
      <c r="H1" s="74"/>
      <c r="I1" s="74"/>
    </row>
    <row r="2" spans="1:9">
      <c r="A2" s="36" t="s">
        <v>1</v>
      </c>
      <c r="B2" s="37"/>
      <c r="C2" s="41" t="str">
        <f>'Stavební rozpočet'!C2</f>
        <v>Oprava kotelny na Srbské</v>
      </c>
      <c r="D2" s="42"/>
      <c r="E2" s="39" t="s">
        <v>5</v>
      </c>
      <c r="F2" s="39" t="str">
        <f>'Stavební rozpočet'!I2</f>
        <v>STAREZ – SPORT, a.s.</v>
      </c>
      <c r="G2" s="37"/>
      <c r="H2" s="39" t="s">
        <v>649</v>
      </c>
      <c r="I2" s="44" t="s">
        <v>650</v>
      </c>
    </row>
    <row r="3" spans="1:9" ht="15" customHeight="1">
      <c r="A3" s="69"/>
      <c r="B3" s="38"/>
      <c r="C3" s="43"/>
      <c r="D3" s="43"/>
      <c r="E3" s="38"/>
      <c r="F3" s="38"/>
      <c r="G3" s="38"/>
      <c r="H3" s="38"/>
      <c r="I3" s="77"/>
    </row>
    <row r="4" spans="1:9">
      <c r="A4" s="78" t="s">
        <v>7</v>
      </c>
      <c r="B4" s="38"/>
      <c r="C4" s="40" t="str">
        <f>'Stavební rozpočet'!C4</f>
        <v>Oprava kotelny</v>
      </c>
      <c r="D4" s="38"/>
      <c r="E4" s="40" t="s">
        <v>11</v>
      </c>
      <c r="F4" s="40" t="str">
        <f>'Stavební rozpočet'!I4</f>
        <v>Ing. Lukáš Doležal, Střední 373/55, 602 00 Brno</v>
      </c>
      <c r="G4" s="38"/>
      <c r="H4" s="40" t="s">
        <v>649</v>
      </c>
      <c r="I4" s="77" t="s">
        <v>651</v>
      </c>
    </row>
    <row r="5" spans="1:9" ht="15" customHeight="1">
      <c r="A5" s="69"/>
      <c r="B5" s="38"/>
      <c r="C5" s="38"/>
      <c r="D5" s="38"/>
      <c r="E5" s="38"/>
      <c r="F5" s="38"/>
      <c r="G5" s="38"/>
      <c r="H5" s="38"/>
      <c r="I5" s="77"/>
    </row>
    <row r="6" spans="1:9">
      <c r="A6" s="78" t="s">
        <v>13</v>
      </c>
      <c r="B6" s="38"/>
      <c r="C6" s="40" t="str">
        <f>'Stavební rozpočet'!C6</f>
        <v>Srbská 47a, 612 00 Brno-Královo Pole</v>
      </c>
      <c r="D6" s="38"/>
      <c r="E6" s="40" t="s">
        <v>16</v>
      </c>
      <c r="F6" s="40" t="str">
        <f>'Stavební rozpočet'!I6</f>
        <v>dle výběrového řízení</v>
      </c>
      <c r="G6" s="38"/>
      <c r="H6" s="40" t="s">
        <v>649</v>
      </c>
      <c r="I6" s="77" t="s">
        <v>52</v>
      </c>
    </row>
    <row r="7" spans="1:9" ht="15" customHeight="1">
      <c r="A7" s="69"/>
      <c r="B7" s="38"/>
      <c r="C7" s="38"/>
      <c r="D7" s="38"/>
      <c r="E7" s="38"/>
      <c r="F7" s="38"/>
      <c r="G7" s="38"/>
      <c r="H7" s="38"/>
      <c r="I7" s="77"/>
    </row>
    <row r="8" spans="1:9">
      <c r="A8" s="78" t="s">
        <v>9</v>
      </c>
      <c r="B8" s="38"/>
      <c r="C8" s="40" t="str">
        <f>'Stavební rozpočet'!G4</f>
        <v>01.06.2026</v>
      </c>
      <c r="D8" s="38"/>
      <c r="E8" s="40" t="s">
        <v>15</v>
      </c>
      <c r="F8" s="40" t="str">
        <f>'Stavební rozpočet'!G6</f>
        <v xml:space="preserve"> </v>
      </c>
      <c r="G8" s="38"/>
      <c r="H8" s="38" t="s">
        <v>652</v>
      </c>
      <c r="I8" s="122">
        <v>191</v>
      </c>
    </row>
    <row r="9" spans="1:9">
      <c r="A9" s="69"/>
      <c r="B9" s="38"/>
      <c r="C9" s="38"/>
      <c r="D9" s="38"/>
      <c r="E9" s="38"/>
      <c r="F9" s="38"/>
      <c r="G9" s="38"/>
      <c r="H9" s="38"/>
      <c r="I9" s="77"/>
    </row>
    <row r="10" spans="1:9">
      <c r="A10" s="78" t="s">
        <v>18</v>
      </c>
      <c r="B10" s="38"/>
      <c r="C10" s="40" t="str">
        <f>'Stavební rozpočet'!C8</f>
        <v xml:space="preserve"> </v>
      </c>
      <c r="D10" s="38"/>
      <c r="E10" s="40" t="s">
        <v>21</v>
      </c>
      <c r="F10" s="40" t="str">
        <f>'Stavební rozpočet'!I8</f>
        <v> </v>
      </c>
      <c r="G10" s="38"/>
      <c r="H10" s="38" t="s">
        <v>653</v>
      </c>
      <c r="I10" s="123" t="str">
        <f>'Stavební rozpočet'!G8</f>
        <v>17.12.2025</v>
      </c>
    </row>
    <row r="11" spans="1:9">
      <c r="A11" s="66"/>
      <c r="B11" s="67"/>
      <c r="C11" s="67"/>
      <c r="D11" s="67"/>
      <c r="E11" s="67"/>
      <c r="F11" s="67"/>
      <c r="G11" s="67"/>
      <c r="H11" s="67"/>
      <c r="I11" s="68"/>
    </row>
    <row r="12" spans="1:9">
      <c r="A12" s="124" t="s">
        <v>654</v>
      </c>
      <c r="B12" s="124"/>
      <c r="C12" s="124"/>
      <c r="D12" s="124"/>
      <c r="E12" s="124"/>
      <c r="F12" s="124"/>
      <c r="G12" s="124"/>
      <c r="H12" s="124"/>
      <c r="I12" s="124"/>
    </row>
    <row r="13" spans="1:9" ht="26.25" customHeight="1">
      <c r="A13" s="18" t="s">
        <v>655</v>
      </c>
      <c r="B13" s="125" t="s">
        <v>656</v>
      </c>
      <c r="C13" s="126"/>
      <c r="D13" s="19" t="s">
        <v>657</v>
      </c>
      <c r="E13" s="125" t="s">
        <v>658</v>
      </c>
      <c r="F13" s="126"/>
      <c r="G13" s="19" t="s">
        <v>659</v>
      </c>
      <c r="H13" s="125" t="s">
        <v>660</v>
      </c>
      <c r="I13" s="126"/>
    </row>
    <row r="14" spans="1:9">
      <c r="A14" s="20" t="s">
        <v>661</v>
      </c>
      <c r="B14" s="21" t="s">
        <v>662</v>
      </c>
      <c r="C14" s="127">
        <f>SUM('Stavební rozpočet'!AB12:AB460)</f>
        <v>0</v>
      </c>
      <c r="D14" s="128" t="s">
        <v>663</v>
      </c>
      <c r="E14" s="50"/>
      <c r="F14" s="127">
        <f>VORN!I15</f>
        <v>0</v>
      </c>
      <c r="G14" s="128" t="s">
        <v>664</v>
      </c>
      <c r="H14" s="50"/>
      <c r="I14" s="129">
        <f>VORN!I21</f>
        <v>0</v>
      </c>
    </row>
    <row r="15" spans="1:9">
      <c r="A15" s="22" t="s">
        <v>52</v>
      </c>
      <c r="B15" s="21" t="s">
        <v>37</v>
      </c>
      <c r="C15" s="127">
        <f>SUM('Stavební rozpočet'!AC12:AC460)</f>
        <v>0</v>
      </c>
      <c r="D15" s="128" t="s">
        <v>665</v>
      </c>
      <c r="E15" s="50"/>
      <c r="F15" s="127">
        <f>VORN!I16</f>
        <v>0</v>
      </c>
      <c r="G15" s="128" t="s">
        <v>666</v>
      </c>
      <c r="H15" s="50"/>
      <c r="I15" s="129">
        <f>VORN!I22</f>
        <v>0</v>
      </c>
    </row>
    <row r="16" spans="1:9">
      <c r="A16" s="20" t="s">
        <v>667</v>
      </c>
      <c r="B16" s="21" t="s">
        <v>662</v>
      </c>
      <c r="C16" s="127">
        <f>SUM('Stavební rozpočet'!AD12:AD460)</f>
        <v>0</v>
      </c>
      <c r="D16" s="128" t="s">
        <v>668</v>
      </c>
      <c r="E16" s="50"/>
      <c r="F16" s="127">
        <f>VORN!I17</f>
        <v>0</v>
      </c>
      <c r="G16" s="128" t="s">
        <v>669</v>
      </c>
      <c r="H16" s="50"/>
      <c r="I16" s="129">
        <f>VORN!I23</f>
        <v>0</v>
      </c>
    </row>
    <row r="17" spans="1:9">
      <c r="A17" s="22" t="s">
        <v>52</v>
      </c>
      <c r="B17" s="21" t="s">
        <v>37</v>
      </c>
      <c r="C17" s="127">
        <f>SUM('Stavební rozpočet'!AE12:AE460)</f>
        <v>0</v>
      </c>
      <c r="D17" s="128" t="s">
        <v>52</v>
      </c>
      <c r="E17" s="50"/>
      <c r="F17" s="129" t="s">
        <v>52</v>
      </c>
      <c r="G17" s="128" t="s">
        <v>445</v>
      </c>
      <c r="H17" s="50"/>
      <c r="I17" s="129">
        <f>VORN!I24</f>
        <v>0</v>
      </c>
    </row>
    <row r="18" spans="1:9">
      <c r="A18" s="20" t="s">
        <v>670</v>
      </c>
      <c r="B18" s="21" t="s">
        <v>662</v>
      </c>
      <c r="C18" s="127">
        <f>SUM('Stavební rozpočet'!AF12:AF460)</f>
        <v>0</v>
      </c>
      <c r="D18" s="128" t="s">
        <v>52</v>
      </c>
      <c r="E18" s="50"/>
      <c r="F18" s="129" t="s">
        <v>52</v>
      </c>
      <c r="G18" s="128" t="s">
        <v>671</v>
      </c>
      <c r="H18" s="50"/>
      <c r="I18" s="129">
        <f>VORN!I25</f>
        <v>0</v>
      </c>
    </row>
    <row r="19" spans="1:9">
      <c r="A19" s="22" t="s">
        <v>52</v>
      </c>
      <c r="B19" s="21" t="s">
        <v>37</v>
      </c>
      <c r="C19" s="127">
        <f>SUM('Stavební rozpočet'!AG12:AG460)</f>
        <v>0</v>
      </c>
      <c r="D19" s="128" t="s">
        <v>52</v>
      </c>
      <c r="E19" s="50"/>
      <c r="F19" s="129" t="s">
        <v>52</v>
      </c>
      <c r="G19" s="128" t="s">
        <v>672</v>
      </c>
      <c r="H19" s="50"/>
      <c r="I19" s="129">
        <f>VORN!I26</f>
        <v>0</v>
      </c>
    </row>
    <row r="20" spans="1:9">
      <c r="A20" s="47" t="s">
        <v>673</v>
      </c>
      <c r="B20" s="48"/>
      <c r="C20" s="127">
        <f>SUM('Stavební rozpočet'!AH12:AH460)</f>
        <v>0</v>
      </c>
      <c r="D20" s="128" t="s">
        <v>52</v>
      </c>
      <c r="E20" s="50"/>
      <c r="F20" s="129" t="s">
        <v>52</v>
      </c>
      <c r="G20" s="128" t="s">
        <v>52</v>
      </c>
      <c r="H20" s="50"/>
      <c r="I20" s="129" t="s">
        <v>52</v>
      </c>
    </row>
    <row r="21" spans="1:9">
      <c r="A21" s="130" t="s">
        <v>674</v>
      </c>
      <c r="B21" s="131"/>
      <c r="C21" s="132">
        <f>SUM('Stavební rozpočet'!Z12:Z460)</f>
        <v>0</v>
      </c>
      <c r="D21" s="133" t="s">
        <v>52</v>
      </c>
      <c r="E21" s="134"/>
      <c r="F21" s="135" t="s">
        <v>52</v>
      </c>
      <c r="G21" s="133" t="s">
        <v>52</v>
      </c>
      <c r="H21" s="134"/>
      <c r="I21" s="135" t="s">
        <v>52</v>
      </c>
    </row>
    <row r="22" spans="1:9" ht="16.5" customHeight="1">
      <c r="A22" s="49" t="s">
        <v>675</v>
      </c>
      <c r="B22" s="136"/>
      <c r="C22" s="23">
        <f>ROUND(SUM(C14:C21),2)</f>
        <v>0</v>
      </c>
      <c r="D22" s="137" t="s">
        <v>676</v>
      </c>
      <c r="E22" s="136"/>
      <c r="F22" s="23">
        <f>SUM(F14:F21)</f>
        <v>0</v>
      </c>
      <c r="G22" s="137" t="s">
        <v>677</v>
      </c>
      <c r="H22" s="136"/>
      <c r="I22" s="23">
        <f>SUM(I14:I21)</f>
        <v>0</v>
      </c>
    </row>
    <row r="23" spans="1:9">
      <c r="D23" s="47" t="s">
        <v>678</v>
      </c>
      <c r="E23" s="48"/>
      <c r="F23" s="138">
        <v>0</v>
      </c>
      <c r="G23" s="139" t="s">
        <v>679</v>
      </c>
      <c r="H23" s="48"/>
      <c r="I23" s="127">
        <v>0</v>
      </c>
    </row>
    <row r="24" spans="1:9">
      <c r="G24" s="47" t="s">
        <v>680</v>
      </c>
      <c r="H24" s="48"/>
      <c r="I24" s="132">
        <f>vorn_sum</f>
        <v>0</v>
      </c>
    </row>
    <row r="25" spans="1:9">
      <c r="G25" s="47" t="s">
        <v>681</v>
      </c>
      <c r="H25" s="48"/>
      <c r="I25" s="23">
        <v>0</v>
      </c>
    </row>
    <row r="27" spans="1:9">
      <c r="A27" s="51" t="s">
        <v>682</v>
      </c>
      <c r="B27" s="52"/>
      <c r="C27" s="140">
        <f>ROUND(SUM('Stavební rozpočet'!AJ12:AJ460),2)</f>
        <v>0</v>
      </c>
    </row>
    <row r="28" spans="1:9">
      <c r="A28" s="53" t="s">
        <v>683</v>
      </c>
      <c r="B28" s="54"/>
      <c r="C28" s="24">
        <f>ROUND(SUM('Stavební rozpočet'!AK12:AK460),2)</f>
        <v>0</v>
      </c>
      <c r="D28" s="52" t="s">
        <v>684</v>
      </c>
      <c r="E28" s="52"/>
      <c r="F28" s="140">
        <f>ROUND(C28*(12/100),2)</f>
        <v>0</v>
      </c>
      <c r="G28" s="52" t="s">
        <v>685</v>
      </c>
      <c r="H28" s="52"/>
      <c r="I28" s="140">
        <f>ROUND(SUM(C27:C29),2)</f>
        <v>0</v>
      </c>
    </row>
    <row r="29" spans="1:9">
      <c r="A29" s="53" t="s">
        <v>686</v>
      </c>
      <c r="B29" s="54"/>
      <c r="C29" s="24">
        <f>ROUND(SUM('Stavební rozpočet'!AL12:AL460),2)</f>
        <v>0</v>
      </c>
      <c r="D29" s="54" t="s">
        <v>687</v>
      </c>
      <c r="E29" s="54"/>
      <c r="F29" s="24">
        <f>ROUND(C29*(21/100),2)</f>
        <v>0</v>
      </c>
      <c r="G29" s="54" t="s">
        <v>688</v>
      </c>
      <c r="H29" s="54"/>
      <c r="I29" s="24">
        <f>ROUND(SUM(F28:F29)+I28,2)</f>
        <v>0</v>
      </c>
    </row>
    <row r="31" spans="1:9">
      <c r="A31" s="55" t="s">
        <v>689</v>
      </c>
      <c r="B31" s="62"/>
      <c r="C31" s="56"/>
      <c r="D31" s="62" t="s">
        <v>690</v>
      </c>
      <c r="E31" s="62"/>
      <c r="F31" s="56"/>
      <c r="G31" s="62" t="s">
        <v>691</v>
      </c>
      <c r="H31" s="62"/>
      <c r="I31" s="56"/>
    </row>
    <row r="32" spans="1:9">
      <c r="A32" s="57" t="s">
        <v>52</v>
      </c>
      <c r="B32" s="58"/>
      <c r="C32" s="59"/>
      <c r="D32" s="133" t="s">
        <v>52</v>
      </c>
      <c r="E32" s="58"/>
      <c r="F32" s="59"/>
      <c r="G32" s="133" t="s">
        <v>52</v>
      </c>
      <c r="H32" s="58"/>
      <c r="I32" s="59"/>
    </row>
    <row r="33" spans="1:9">
      <c r="A33" s="57" t="s">
        <v>52</v>
      </c>
      <c r="B33" s="58"/>
      <c r="C33" s="59"/>
      <c r="D33" s="133" t="s">
        <v>52</v>
      </c>
      <c r="E33" s="58"/>
      <c r="F33" s="59"/>
      <c r="G33" s="133" t="s">
        <v>52</v>
      </c>
      <c r="H33" s="58"/>
      <c r="I33" s="59"/>
    </row>
    <row r="34" spans="1:9">
      <c r="A34" s="57" t="s">
        <v>52</v>
      </c>
      <c r="B34" s="58"/>
      <c r="C34" s="59"/>
      <c r="D34" s="133" t="s">
        <v>52</v>
      </c>
      <c r="E34" s="58"/>
      <c r="F34" s="59"/>
      <c r="G34" s="133" t="s">
        <v>52</v>
      </c>
      <c r="H34" s="58"/>
      <c r="I34" s="59"/>
    </row>
    <row r="35" spans="1:9">
      <c r="A35" s="60" t="s">
        <v>692</v>
      </c>
      <c r="B35" s="63"/>
      <c r="C35" s="61"/>
      <c r="D35" s="63" t="s">
        <v>692</v>
      </c>
      <c r="E35" s="63"/>
      <c r="F35" s="61"/>
      <c r="G35" s="63" t="s">
        <v>692</v>
      </c>
      <c r="H35" s="63"/>
      <c r="I35" s="61"/>
    </row>
    <row r="36" spans="1:9">
      <c r="A36" s="141" t="s">
        <v>647</v>
      </c>
    </row>
    <row r="37" spans="1:9" ht="12.75" customHeight="1">
      <c r="A37" s="40" t="s">
        <v>52</v>
      </c>
      <c r="B37" s="38"/>
      <c r="C37" s="38"/>
      <c r="D37" s="38"/>
      <c r="E37" s="38"/>
      <c r="F37" s="38"/>
      <c r="G37" s="38"/>
      <c r="H37" s="38"/>
      <c r="I37" s="38"/>
    </row>
  </sheetData>
  <sheetProtection password="C7EB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121" t="s">
        <v>441</v>
      </c>
      <c r="B1" s="74"/>
      <c r="C1" s="74"/>
      <c r="D1" s="74"/>
      <c r="E1" s="74"/>
      <c r="F1" s="74"/>
      <c r="G1" s="74"/>
      <c r="H1" s="74"/>
      <c r="I1" s="74"/>
    </row>
    <row r="2" spans="1:9">
      <c r="A2" s="36" t="s">
        <v>1</v>
      </c>
      <c r="B2" s="37"/>
      <c r="C2" s="41" t="str">
        <f>'Stavební rozpočet'!C2</f>
        <v>Oprava kotelny na Srbské</v>
      </c>
      <c r="D2" s="42"/>
      <c r="E2" s="39" t="s">
        <v>5</v>
      </c>
      <c r="F2" s="39" t="str">
        <f>'Stavební rozpočet'!I2</f>
        <v>STAREZ – SPORT, a.s.</v>
      </c>
      <c r="G2" s="37"/>
      <c r="H2" s="39" t="s">
        <v>649</v>
      </c>
      <c r="I2" s="44" t="s">
        <v>650</v>
      </c>
    </row>
    <row r="3" spans="1:9" ht="15" customHeight="1">
      <c r="A3" s="69"/>
      <c r="B3" s="38"/>
      <c r="C3" s="43"/>
      <c r="D3" s="43"/>
      <c r="E3" s="38"/>
      <c r="F3" s="38"/>
      <c r="G3" s="38"/>
      <c r="H3" s="38"/>
      <c r="I3" s="77"/>
    </row>
    <row r="4" spans="1:9">
      <c r="A4" s="78" t="s">
        <v>7</v>
      </c>
      <c r="B4" s="38"/>
      <c r="C4" s="40" t="str">
        <f>'Stavební rozpočet'!C4</f>
        <v>Oprava kotelny</v>
      </c>
      <c r="D4" s="38"/>
      <c r="E4" s="40" t="s">
        <v>11</v>
      </c>
      <c r="F4" s="40" t="str">
        <f>'Stavební rozpočet'!I4</f>
        <v>Ing. Lukáš Doležal, Střední 373/55, 602 00 Brno</v>
      </c>
      <c r="G4" s="38"/>
      <c r="H4" s="40" t="s">
        <v>649</v>
      </c>
      <c r="I4" s="77" t="s">
        <v>651</v>
      </c>
    </row>
    <row r="5" spans="1:9" ht="15" customHeight="1">
      <c r="A5" s="69"/>
      <c r="B5" s="38"/>
      <c r="C5" s="38"/>
      <c r="D5" s="38"/>
      <c r="E5" s="38"/>
      <c r="F5" s="38"/>
      <c r="G5" s="38"/>
      <c r="H5" s="38"/>
      <c r="I5" s="77"/>
    </row>
    <row r="6" spans="1:9">
      <c r="A6" s="78" t="s">
        <v>13</v>
      </c>
      <c r="B6" s="38"/>
      <c r="C6" s="40" t="str">
        <f>'Stavební rozpočet'!C6</f>
        <v>Srbská 47a, 612 00 Brno-Královo Pole</v>
      </c>
      <c r="D6" s="38"/>
      <c r="E6" s="40" t="s">
        <v>16</v>
      </c>
      <c r="F6" s="40" t="str">
        <f>'Stavební rozpočet'!I6</f>
        <v>dle výběrového řízení</v>
      </c>
      <c r="G6" s="38"/>
      <c r="H6" s="40" t="s">
        <v>649</v>
      </c>
      <c r="I6" s="77" t="s">
        <v>52</v>
      </c>
    </row>
    <row r="7" spans="1:9" ht="15" customHeight="1">
      <c r="A7" s="69"/>
      <c r="B7" s="38"/>
      <c r="C7" s="38"/>
      <c r="D7" s="38"/>
      <c r="E7" s="38"/>
      <c r="F7" s="38"/>
      <c r="G7" s="38"/>
      <c r="H7" s="38"/>
      <c r="I7" s="77"/>
    </row>
    <row r="8" spans="1:9">
      <c r="A8" s="78" t="s">
        <v>9</v>
      </c>
      <c r="B8" s="38"/>
      <c r="C8" s="40" t="str">
        <f>'Stavební rozpočet'!G4</f>
        <v>01.06.2026</v>
      </c>
      <c r="D8" s="38"/>
      <c r="E8" s="40" t="s">
        <v>15</v>
      </c>
      <c r="F8" s="40" t="str">
        <f>'Stavební rozpočet'!G6</f>
        <v xml:space="preserve"> </v>
      </c>
      <c r="G8" s="38"/>
      <c r="H8" s="38" t="s">
        <v>652</v>
      </c>
      <c r="I8" s="122">
        <v>191</v>
      </c>
    </row>
    <row r="9" spans="1:9">
      <c r="A9" s="69"/>
      <c r="B9" s="38"/>
      <c r="C9" s="38"/>
      <c r="D9" s="38"/>
      <c r="E9" s="38"/>
      <c r="F9" s="38"/>
      <c r="G9" s="38"/>
      <c r="H9" s="38"/>
      <c r="I9" s="77"/>
    </row>
    <row r="10" spans="1:9">
      <c r="A10" s="78" t="s">
        <v>18</v>
      </c>
      <c r="B10" s="38"/>
      <c r="C10" s="40" t="str">
        <f>'Stavební rozpočet'!C8</f>
        <v xml:space="preserve"> </v>
      </c>
      <c r="D10" s="38"/>
      <c r="E10" s="40" t="s">
        <v>21</v>
      </c>
      <c r="F10" s="40" t="str">
        <f>'Stavební rozpočet'!I8</f>
        <v> </v>
      </c>
      <c r="G10" s="38"/>
      <c r="H10" s="38" t="s">
        <v>653</v>
      </c>
      <c r="I10" s="123" t="str">
        <f>'Stavební rozpočet'!G8</f>
        <v>17.12.2025</v>
      </c>
    </row>
    <row r="11" spans="1:9">
      <c r="A11" s="66"/>
      <c r="B11" s="67"/>
      <c r="C11" s="67"/>
      <c r="D11" s="67"/>
      <c r="E11" s="67"/>
      <c r="F11" s="67"/>
      <c r="G11" s="67"/>
      <c r="H11" s="67"/>
      <c r="I11" s="68"/>
    </row>
    <row r="13" spans="1:9">
      <c r="A13" s="142" t="s">
        <v>693</v>
      </c>
      <c r="B13" s="142"/>
      <c r="C13" s="142"/>
      <c r="D13" s="142"/>
      <c r="E13" s="142"/>
    </row>
    <row r="14" spans="1:9">
      <c r="A14" s="64" t="s">
        <v>694</v>
      </c>
      <c r="B14" s="65"/>
      <c r="C14" s="65"/>
      <c r="D14" s="65"/>
      <c r="E14" s="143"/>
      <c r="F14" s="25" t="s">
        <v>695</v>
      </c>
      <c r="G14" s="25" t="s">
        <v>696</v>
      </c>
      <c r="H14" s="25" t="s">
        <v>697</v>
      </c>
      <c r="I14" s="25" t="s">
        <v>695</v>
      </c>
    </row>
    <row r="15" spans="1:9">
      <c r="A15" s="66" t="s">
        <v>663</v>
      </c>
      <c r="B15" s="67"/>
      <c r="C15" s="67"/>
      <c r="D15" s="67"/>
      <c r="E15" s="68"/>
      <c r="F15" s="144">
        <v>0</v>
      </c>
      <c r="G15" s="28" t="s">
        <v>52</v>
      </c>
      <c r="H15" s="28" t="s">
        <v>52</v>
      </c>
      <c r="I15" s="144">
        <f>F15</f>
        <v>0</v>
      </c>
    </row>
    <row r="16" spans="1:9">
      <c r="A16" s="66" t="s">
        <v>665</v>
      </c>
      <c r="B16" s="67"/>
      <c r="C16" s="67"/>
      <c r="D16" s="67"/>
      <c r="E16" s="68"/>
      <c r="F16" s="144">
        <v>0</v>
      </c>
      <c r="G16" s="28" t="s">
        <v>52</v>
      </c>
      <c r="H16" s="28" t="s">
        <v>52</v>
      </c>
      <c r="I16" s="144">
        <f>F16</f>
        <v>0</v>
      </c>
    </row>
    <row r="17" spans="1:9">
      <c r="A17" s="69" t="s">
        <v>668</v>
      </c>
      <c r="B17" s="70"/>
      <c r="C17" s="70"/>
      <c r="D17" s="70"/>
      <c r="E17" s="77"/>
      <c r="F17" s="31">
        <v>0</v>
      </c>
      <c r="G17" s="32" t="s">
        <v>52</v>
      </c>
      <c r="H17" s="32" t="s">
        <v>52</v>
      </c>
      <c r="I17" s="31">
        <f>F17</f>
        <v>0</v>
      </c>
    </row>
    <row r="18" spans="1:9">
      <c r="A18" s="71" t="s">
        <v>698</v>
      </c>
      <c r="B18" s="145"/>
      <c r="C18" s="145"/>
      <c r="D18" s="145"/>
      <c r="E18" s="146"/>
      <c r="F18" s="33" t="s">
        <v>52</v>
      </c>
      <c r="G18" s="34" t="s">
        <v>52</v>
      </c>
      <c r="H18" s="34" t="s">
        <v>52</v>
      </c>
      <c r="I18" s="35">
        <f>SUM(I15:I17)</f>
        <v>0</v>
      </c>
    </row>
    <row r="20" spans="1:9">
      <c r="A20" s="64" t="s">
        <v>660</v>
      </c>
      <c r="B20" s="65"/>
      <c r="C20" s="65"/>
      <c r="D20" s="65"/>
      <c r="E20" s="143"/>
      <c r="F20" s="25" t="s">
        <v>695</v>
      </c>
      <c r="G20" s="25" t="s">
        <v>696</v>
      </c>
      <c r="H20" s="25" t="s">
        <v>697</v>
      </c>
      <c r="I20" s="25" t="s">
        <v>695</v>
      </c>
    </row>
    <row r="21" spans="1:9">
      <c r="A21" s="66" t="s">
        <v>664</v>
      </c>
      <c r="B21" s="67"/>
      <c r="C21" s="67"/>
      <c r="D21" s="67"/>
      <c r="E21" s="68"/>
      <c r="F21" s="144">
        <v>0</v>
      </c>
      <c r="G21" s="28" t="s">
        <v>52</v>
      </c>
      <c r="H21" s="28" t="s">
        <v>52</v>
      </c>
      <c r="I21" s="144">
        <f>F21</f>
        <v>0</v>
      </c>
    </row>
    <row r="22" spans="1:9">
      <c r="A22" s="66" t="s">
        <v>666</v>
      </c>
      <c r="B22" s="67"/>
      <c r="C22" s="67"/>
      <c r="D22" s="67"/>
      <c r="E22" s="68"/>
      <c r="F22" s="144">
        <v>0</v>
      </c>
      <c r="G22" s="28" t="s">
        <v>52</v>
      </c>
      <c r="H22" s="28" t="s">
        <v>52</v>
      </c>
      <c r="I22" s="144">
        <f>F22</f>
        <v>0</v>
      </c>
    </row>
    <row r="23" spans="1:9">
      <c r="A23" s="66" t="s">
        <v>669</v>
      </c>
      <c r="B23" s="67"/>
      <c r="C23" s="67"/>
      <c r="D23" s="67"/>
      <c r="E23" s="68"/>
      <c r="F23" s="144">
        <v>0</v>
      </c>
      <c r="G23" s="28" t="s">
        <v>52</v>
      </c>
      <c r="H23" s="28" t="s">
        <v>52</v>
      </c>
      <c r="I23" s="144">
        <f>F23</f>
        <v>0</v>
      </c>
    </row>
    <row r="24" spans="1:9">
      <c r="A24" s="66" t="s">
        <v>445</v>
      </c>
      <c r="B24" s="67"/>
      <c r="C24" s="67"/>
      <c r="D24" s="67"/>
      <c r="E24" s="68"/>
      <c r="F24" s="144">
        <v>0</v>
      </c>
      <c r="G24" s="28" t="s">
        <v>52</v>
      </c>
      <c r="H24" s="28" t="s">
        <v>52</v>
      </c>
      <c r="I24" s="144">
        <f>F24</f>
        <v>0</v>
      </c>
    </row>
    <row r="25" spans="1:9">
      <c r="A25" s="66" t="s">
        <v>671</v>
      </c>
      <c r="B25" s="67"/>
      <c r="C25" s="67"/>
      <c r="D25" s="67"/>
      <c r="E25" s="68"/>
      <c r="F25" s="144">
        <v>0</v>
      </c>
      <c r="G25" s="28" t="s">
        <v>52</v>
      </c>
      <c r="H25" s="28" t="s">
        <v>52</v>
      </c>
      <c r="I25" s="144">
        <f>F25</f>
        <v>0</v>
      </c>
    </row>
    <row r="26" spans="1:9">
      <c r="A26" s="69" t="s">
        <v>672</v>
      </c>
      <c r="B26" s="70"/>
      <c r="C26" s="70"/>
      <c r="D26" s="70"/>
      <c r="E26" s="77"/>
      <c r="F26" s="31">
        <v>0</v>
      </c>
      <c r="G26" s="32" t="s">
        <v>52</v>
      </c>
      <c r="H26" s="32" t="s">
        <v>52</v>
      </c>
      <c r="I26" s="31">
        <f>F26</f>
        <v>0</v>
      </c>
    </row>
    <row r="27" spans="1:9">
      <c r="A27" s="71" t="s">
        <v>699</v>
      </c>
      <c r="B27" s="145"/>
      <c r="C27" s="145"/>
      <c r="D27" s="145"/>
      <c r="E27" s="146"/>
      <c r="F27" s="33" t="s">
        <v>52</v>
      </c>
      <c r="G27" s="34" t="s">
        <v>52</v>
      </c>
      <c r="H27" s="34" t="s">
        <v>52</v>
      </c>
      <c r="I27" s="35">
        <f>SUM(I21:I26)</f>
        <v>0</v>
      </c>
    </row>
    <row r="29" spans="1:9">
      <c r="A29" s="72" t="s">
        <v>700</v>
      </c>
      <c r="B29" s="147"/>
      <c r="C29" s="147"/>
      <c r="D29" s="147"/>
      <c r="E29" s="148"/>
      <c r="F29" s="73">
        <f>I18+I27</f>
        <v>0</v>
      </c>
      <c r="G29" s="149"/>
      <c r="H29" s="149"/>
      <c r="I29" s="150"/>
    </row>
    <row r="33" spans="1:9">
      <c r="A33" s="142" t="s">
        <v>701</v>
      </c>
      <c r="B33" s="142"/>
      <c r="C33" s="142"/>
      <c r="D33" s="142"/>
      <c r="E33" s="142"/>
    </row>
    <row r="34" spans="1:9">
      <c r="A34" s="64" t="s">
        <v>702</v>
      </c>
      <c r="B34" s="65"/>
      <c r="C34" s="65"/>
      <c r="D34" s="65"/>
      <c r="E34" s="143"/>
      <c r="F34" s="25" t="s">
        <v>695</v>
      </c>
      <c r="G34" s="25" t="s">
        <v>696</v>
      </c>
      <c r="H34" s="25" t="s">
        <v>697</v>
      </c>
      <c r="I34" s="25" t="s">
        <v>695</v>
      </c>
    </row>
    <row r="35" spans="1:9">
      <c r="A35" s="66" t="s">
        <v>703</v>
      </c>
      <c r="B35" s="67"/>
      <c r="C35" s="67"/>
      <c r="D35" s="67"/>
      <c r="E35" s="68"/>
      <c r="F35" s="144">
        <f>SUM('Stavební rozpočet'!BM12:BM460)</f>
        <v>0</v>
      </c>
      <c r="G35" s="28" t="s">
        <v>52</v>
      </c>
      <c r="H35" s="28" t="s">
        <v>52</v>
      </c>
      <c r="I35" s="144">
        <f>F35</f>
        <v>0</v>
      </c>
    </row>
    <row r="36" spans="1:9">
      <c r="A36" s="66" t="s">
        <v>704</v>
      </c>
      <c r="B36" s="67"/>
      <c r="C36" s="67"/>
      <c r="D36" s="67"/>
      <c r="E36" s="68"/>
      <c r="F36" s="144">
        <f>SUM('Stavební rozpočet'!BN12:BN460)</f>
        <v>0</v>
      </c>
      <c r="G36" s="28" t="s">
        <v>52</v>
      </c>
      <c r="H36" s="28" t="s">
        <v>52</v>
      </c>
      <c r="I36" s="144">
        <f>F36</f>
        <v>0</v>
      </c>
    </row>
    <row r="37" spans="1:9">
      <c r="A37" s="66" t="s">
        <v>664</v>
      </c>
      <c r="B37" s="67"/>
      <c r="C37" s="67"/>
      <c r="D37" s="67"/>
      <c r="E37" s="68"/>
      <c r="F37" s="144">
        <f>SUM('Stavební rozpočet'!BO12:BO460)</f>
        <v>0</v>
      </c>
      <c r="G37" s="28" t="s">
        <v>52</v>
      </c>
      <c r="H37" s="28" t="s">
        <v>52</v>
      </c>
      <c r="I37" s="144">
        <f>F37</f>
        <v>0</v>
      </c>
    </row>
    <row r="38" spans="1:9">
      <c r="A38" s="66" t="s">
        <v>705</v>
      </c>
      <c r="B38" s="67"/>
      <c r="C38" s="67"/>
      <c r="D38" s="67"/>
      <c r="E38" s="68"/>
      <c r="F38" s="144">
        <f>SUM('Stavební rozpočet'!BP12:BP460)</f>
        <v>0</v>
      </c>
      <c r="G38" s="28" t="s">
        <v>52</v>
      </c>
      <c r="H38" s="28" t="s">
        <v>52</v>
      </c>
      <c r="I38" s="144">
        <f>F38</f>
        <v>0</v>
      </c>
    </row>
    <row r="39" spans="1:9">
      <c r="A39" s="66" t="s">
        <v>706</v>
      </c>
      <c r="B39" s="67"/>
      <c r="C39" s="67"/>
      <c r="D39" s="67"/>
      <c r="E39" s="68"/>
      <c r="F39" s="144">
        <f>SUM('Stavební rozpočet'!BQ12:BQ460)</f>
        <v>0</v>
      </c>
      <c r="G39" s="28" t="s">
        <v>52</v>
      </c>
      <c r="H39" s="28" t="s">
        <v>52</v>
      </c>
      <c r="I39" s="144">
        <f>F39</f>
        <v>0</v>
      </c>
    </row>
    <row r="40" spans="1:9">
      <c r="A40" s="66" t="s">
        <v>669</v>
      </c>
      <c r="B40" s="67"/>
      <c r="C40" s="67"/>
      <c r="D40" s="67"/>
      <c r="E40" s="68"/>
      <c r="F40" s="144">
        <f>SUM('Stavební rozpočet'!BR12:BR460)</f>
        <v>0</v>
      </c>
      <c r="G40" s="28" t="s">
        <v>52</v>
      </c>
      <c r="H40" s="28" t="s">
        <v>52</v>
      </c>
      <c r="I40" s="144">
        <f>F40</f>
        <v>0</v>
      </c>
    </row>
    <row r="41" spans="1:9">
      <c r="A41" s="66" t="s">
        <v>445</v>
      </c>
      <c r="B41" s="67"/>
      <c r="C41" s="67"/>
      <c r="D41" s="67"/>
      <c r="E41" s="68"/>
      <c r="F41" s="144">
        <f>SUM('Stavební rozpočet'!BS12:BS460)</f>
        <v>0</v>
      </c>
      <c r="G41" s="28" t="s">
        <v>52</v>
      </c>
      <c r="H41" s="28" t="s">
        <v>52</v>
      </c>
      <c r="I41" s="144">
        <f>F41</f>
        <v>0</v>
      </c>
    </row>
    <row r="42" spans="1:9">
      <c r="A42" s="66" t="s">
        <v>707</v>
      </c>
      <c r="B42" s="67"/>
      <c r="C42" s="67"/>
      <c r="D42" s="67"/>
      <c r="E42" s="68"/>
      <c r="F42" s="144">
        <f>SUM('Stavební rozpočet'!BT12:BT460)</f>
        <v>0</v>
      </c>
      <c r="G42" s="28" t="s">
        <v>52</v>
      </c>
      <c r="H42" s="28" t="s">
        <v>52</v>
      </c>
      <c r="I42" s="144">
        <f>F42</f>
        <v>0</v>
      </c>
    </row>
    <row r="43" spans="1:9">
      <c r="A43" s="66" t="s">
        <v>708</v>
      </c>
      <c r="B43" s="67"/>
      <c r="C43" s="67"/>
      <c r="D43" s="67"/>
      <c r="E43" s="68"/>
      <c r="F43" s="144">
        <f>SUM('Stavební rozpočet'!BU12:BU460)</f>
        <v>0</v>
      </c>
      <c r="G43" s="28" t="s">
        <v>52</v>
      </c>
      <c r="H43" s="28" t="s">
        <v>52</v>
      </c>
      <c r="I43" s="144">
        <f>F43</f>
        <v>0</v>
      </c>
    </row>
    <row r="44" spans="1:9">
      <c r="A44" s="69" t="s">
        <v>709</v>
      </c>
      <c r="B44" s="70"/>
      <c r="C44" s="70"/>
      <c r="D44" s="70"/>
      <c r="E44" s="77"/>
      <c r="F44" s="31">
        <f>SUM('Stavební rozpočet'!BV12:BV460)</f>
        <v>0</v>
      </c>
      <c r="G44" s="32" t="s">
        <v>52</v>
      </c>
      <c r="H44" s="32" t="s">
        <v>52</v>
      </c>
      <c r="I44" s="31">
        <f>F44</f>
        <v>0</v>
      </c>
    </row>
    <row r="45" spans="1:9">
      <c r="A45" s="71" t="s">
        <v>710</v>
      </c>
      <c r="B45" s="145"/>
      <c r="C45" s="145"/>
      <c r="D45" s="145"/>
      <c r="E45" s="146"/>
      <c r="F45" s="33" t="s">
        <v>52</v>
      </c>
      <c r="G45" s="34" t="s">
        <v>52</v>
      </c>
      <c r="H45" s="34" t="s">
        <v>52</v>
      </c>
      <c r="I45" s="35">
        <f>SUM(I35:I44)</f>
        <v>0</v>
      </c>
    </row>
  </sheetData>
  <sheetProtection password="C7EB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9EE1E-B537-4DC1-8AE1-3ECA40B257D6}"/>
</file>

<file path=customXml/itemProps2.xml><?xml version="1.0" encoding="utf-8"?>
<ds:datastoreItem xmlns:ds="http://schemas.openxmlformats.org/officeDocument/2006/customXml" ds:itemID="{C06EA1F1-C826-4827-87E8-E3348EF17DDE}"/>
</file>

<file path=customXml/itemProps3.xml><?xml version="1.0" encoding="utf-8"?>
<ds:datastoreItem xmlns:ds="http://schemas.openxmlformats.org/officeDocument/2006/customXml" ds:itemID="{0A192623-10D8-404D-8CAE-BB0306080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Michal Hájek</cp:lastModifiedBy>
  <cp:revision/>
  <dcterms:created xsi:type="dcterms:W3CDTF">2021-06-10T20:06:38Z</dcterms:created>
  <dcterms:modified xsi:type="dcterms:W3CDTF">2026-02-09T15:30:26Z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